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Legal Exp." sheetId="1" state="visible" r:id="rId2"/>
    <sheet name=" 2018Actual" sheetId="2" state="visible" r:id="rId3"/>
    <sheet name="2019Actual" sheetId="3" state="visible" r:id="rId4"/>
    <sheet name="Insuranc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JML</author>
  </authors>
  <commentList>
    <comment ref="K6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Laptop:
</t>
        </r>
        <r>
          <rPr>
            <sz val="9"/>
            <color rgb="FF000000"/>
            <rFont val="Tahoma"/>
            <family val="2"/>
            <charset val="1"/>
          </rPr>
          <t xml:space="preserve">Adj to 5010.12 $1200.60
</t>
        </r>
      </text>
    </comment>
    <comment ref="K11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Laptop:
</t>
        </r>
        <r>
          <rPr>
            <sz val="9"/>
            <color rgb="FF000000"/>
            <rFont val="Tahoma"/>
            <family val="2"/>
            <charset val="1"/>
          </rPr>
          <t xml:space="preserve">Adj HRA to Highway line
$20,540.97
</t>
        </r>
      </text>
    </comment>
    <comment ref="K17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Laptop:
</t>
        </r>
        <r>
          <rPr>
            <sz val="9"/>
            <color rgb="FF000000"/>
            <rFont val="Tahoma"/>
            <family val="2"/>
            <charset val="1"/>
          </rPr>
          <t xml:space="preserve">Adj YTD HRA from General line $20,540.97
</t>
        </r>
      </text>
    </comment>
  </commentList>
</comments>
</file>

<file path=xl/sharedStrings.xml><?xml version="1.0" encoding="utf-8"?>
<sst xmlns="http://schemas.openxmlformats.org/spreadsheetml/2006/main" count="898" uniqueCount="503">
  <si>
    <t xml:space="preserve">LEGAL EXPENSES</t>
  </si>
  <si>
    <t xml:space="preserve">Girvin &amp; Ferlazzo, PC</t>
  </si>
  <si>
    <t xml:space="preserve">Date of</t>
  </si>
  <si>
    <t xml:space="preserve">TOTAL</t>
  </si>
  <si>
    <t xml:space="preserve">Invoice</t>
  </si>
  <si>
    <t xml:space="preserve">Johnson</t>
  </si>
  <si>
    <t xml:space="preserve">Abdella</t>
  </si>
  <si>
    <t xml:space="preserve">Demkiw</t>
  </si>
  <si>
    <t xml:space="preserve">Ottosuo</t>
  </si>
  <si>
    <t xml:space="preserve">Health Ins.</t>
  </si>
  <si>
    <t xml:space="preserve">Dogs</t>
  </si>
  <si>
    <t xml:space="preserve">Code</t>
  </si>
  <si>
    <t xml:space="preserve">Cell Tower</t>
  </si>
  <si>
    <t xml:space="preserve">Other</t>
  </si>
  <si>
    <t xml:space="preserve">Sub Total</t>
  </si>
  <si>
    <t xml:space="preserve">EDP</t>
  </si>
  <si>
    <t xml:space="preserve">CAN</t>
  </si>
  <si>
    <t xml:space="preserve">Ackerbauer</t>
  </si>
  <si>
    <t xml:space="preserve">Hite &amp; Beaumont</t>
  </si>
  <si>
    <t xml:space="preserve">TOWN OF CAROGA</t>
  </si>
  <si>
    <t xml:space="preserve">.Jan2018</t>
  </si>
  <si>
    <t xml:space="preserve">.Feb2018</t>
  </si>
  <si>
    <t xml:space="preserve">.March18</t>
  </si>
  <si>
    <t xml:space="preserve">.April18</t>
  </si>
  <si>
    <t xml:space="preserve">.May2018</t>
  </si>
  <si>
    <t xml:space="preserve">.June18</t>
  </si>
  <si>
    <t xml:space="preserve">.July18</t>
  </si>
  <si>
    <t xml:space="preserve">.Aug2018</t>
  </si>
  <si>
    <t xml:space="preserve">.Sept18</t>
  </si>
  <si>
    <t xml:space="preserve">.Oct2018</t>
  </si>
  <si>
    <t xml:space="preserve">.Nov2018</t>
  </si>
  <si>
    <t xml:space="preserve">.Dec2018</t>
  </si>
  <si>
    <t xml:space="preserve">Expense Comparison</t>
  </si>
  <si>
    <t xml:space="preserve">BUDGET</t>
  </si>
  <si>
    <t xml:space="preserve">General Fund Expenses</t>
  </si>
  <si>
    <t xml:space="preserve">Account</t>
  </si>
  <si>
    <t xml:space="preserve">Descriptions</t>
  </si>
  <si>
    <t xml:space="preserve">Code  #</t>
  </si>
  <si>
    <t xml:space="preserve">A1010.1</t>
  </si>
  <si>
    <t xml:space="preserve">Town Board Personal Serv.</t>
  </si>
  <si>
    <t xml:space="preserve">A1010.4</t>
  </si>
  <si>
    <t xml:space="preserve">Town Board Contractual Exp.</t>
  </si>
  <si>
    <t xml:space="preserve">A1010.41</t>
  </si>
  <si>
    <t xml:space="preserve">Grant Writing C/E</t>
  </si>
  <si>
    <t xml:space="preserve">A1110.1</t>
  </si>
  <si>
    <t xml:space="preserve">Justices Personel Serv.</t>
  </si>
  <si>
    <t xml:space="preserve">A1110.11</t>
  </si>
  <si>
    <t xml:space="preserve">Justices Court Clerk</t>
  </si>
  <si>
    <t xml:space="preserve">A1110.2</t>
  </si>
  <si>
    <t xml:space="preserve">J. C. Equipment</t>
  </si>
  <si>
    <t xml:space="preserve">A1110.4</t>
  </si>
  <si>
    <t xml:space="preserve">J.C. Contractual Serv.</t>
  </si>
  <si>
    <t xml:space="preserve">A1220.1</t>
  </si>
  <si>
    <t xml:space="preserve">Supervisor Personal Serv.</t>
  </si>
  <si>
    <t xml:space="preserve">A1220.2</t>
  </si>
  <si>
    <t xml:space="preserve">     "         Equipment</t>
  </si>
  <si>
    <t xml:space="preserve">A1220.21</t>
  </si>
  <si>
    <t xml:space="preserve">S.  Software Expenses </t>
  </si>
  <si>
    <t xml:space="preserve">A1220.4</t>
  </si>
  <si>
    <t xml:space="preserve">S.  Contractual Exp.</t>
  </si>
  <si>
    <t xml:space="preserve">A1320.1</t>
  </si>
  <si>
    <t xml:space="preserve">Bookkeeper to Supervisor</t>
  </si>
  <si>
    <t xml:space="preserve">A1320.4 Independent Audit</t>
  </si>
  <si>
    <t xml:space="preserve">A1340.1</t>
  </si>
  <si>
    <t xml:space="preserve">Budget Personal Serv.</t>
  </si>
  <si>
    <t xml:space="preserve">A1340.4</t>
  </si>
  <si>
    <t xml:space="preserve">Budget Contractual Exp.</t>
  </si>
  <si>
    <t xml:space="preserve">A1335.1</t>
  </si>
  <si>
    <t xml:space="preserve">Assessors Personal Services</t>
  </si>
  <si>
    <t xml:space="preserve">A1355.11</t>
  </si>
  <si>
    <t xml:space="preserve">P.S. Assessment Board R.</t>
  </si>
  <si>
    <t xml:space="preserve">A1355.12</t>
  </si>
  <si>
    <t xml:space="preserve">Personal Serv. Data Collection</t>
  </si>
  <si>
    <t xml:space="preserve">A1355.13</t>
  </si>
  <si>
    <t xml:space="preserve">Assessors Pers. Serv. Clerk</t>
  </si>
  <si>
    <t xml:space="preserve">A1355.2</t>
  </si>
  <si>
    <t xml:space="preserve">       "    Equipment</t>
  </si>
  <si>
    <t xml:space="preserve">???</t>
  </si>
  <si>
    <t xml:space="preserve">A1355.4</t>
  </si>
  <si>
    <t xml:space="preserve">       "    Contractual Exp.</t>
  </si>
  <si>
    <t xml:space="preserve">A1355.41</t>
  </si>
  <si>
    <t xml:space="preserve">Assessment Board R. Clerk</t>
  </si>
  <si>
    <t xml:space="preserve">A1410.1</t>
  </si>
  <si>
    <t xml:space="preserve">Town Clerk Personal Services</t>
  </si>
  <si>
    <t xml:space="preserve">A1410.11</t>
  </si>
  <si>
    <t xml:space="preserve">Deputy T.C. Personal Service</t>
  </si>
  <si>
    <t xml:space="preserve">A1410.2</t>
  </si>
  <si>
    <t xml:space="preserve">Equipment</t>
  </si>
  <si>
    <t xml:space="preserve">A1410.4</t>
  </si>
  <si>
    <t xml:space="preserve">Contractual Expenses</t>
  </si>
  <si>
    <t xml:space="preserve">A1420.4</t>
  </si>
  <si>
    <t xml:space="preserve">Attorney</t>
  </si>
  <si>
    <t xml:space="preserve">A1440.1</t>
  </si>
  <si>
    <t xml:space="preserve">Engineer Sewage Study Clerk</t>
  </si>
  <si>
    <t xml:space="preserve">A1440.4</t>
  </si>
  <si>
    <t xml:space="preserve">A1450.4</t>
  </si>
  <si>
    <t xml:space="preserve">Elections Contractual Exp.</t>
  </si>
  <si>
    <t xml:space="preserve">A1620.1</t>
  </si>
  <si>
    <t xml:space="preserve">Building Personel Services</t>
  </si>
  <si>
    <t xml:space="preserve">A1620.11</t>
  </si>
  <si>
    <t xml:space="preserve">Golf Personel Sercices</t>
  </si>
  <si>
    <t xml:space="preserve">A1620.2</t>
  </si>
  <si>
    <t xml:space="preserve">Golf Equipment</t>
  </si>
  <si>
    <t xml:space="preserve">A1620.4</t>
  </si>
  <si>
    <t xml:space="preserve">Building Contractual Exp</t>
  </si>
  <si>
    <t xml:space="preserve">A1620.41</t>
  </si>
  <si>
    <t xml:space="preserve">Multi Seasonal Park</t>
  </si>
  <si>
    <t xml:space="preserve">Adj</t>
  </si>
  <si>
    <t xml:space="preserve">A1620.42</t>
  </si>
  <si>
    <t xml:space="preserve">Golf Course C.E.</t>
  </si>
  <si>
    <t xml:space="preserve">Gateway Trail C.E.</t>
  </si>
  <si>
    <t xml:space="preserve">A1620.43</t>
  </si>
  <si>
    <t xml:space="preserve">Sherman Bidgs.</t>
  </si>
  <si>
    <t xml:space="preserve">A1670.4</t>
  </si>
  <si>
    <t xml:space="preserve">Central Print &amp; Mail C.E.</t>
  </si>
  <si>
    <t xml:space="preserve">A1670.41</t>
  </si>
  <si>
    <t xml:space="preserve">A1910.4</t>
  </si>
  <si>
    <t xml:space="preserve">Unallocated Insurance</t>
  </si>
  <si>
    <t xml:space="preserve">A1910.41</t>
  </si>
  <si>
    <t xml:space="preserve">Golf Course Uallocated Insurance</t>
  </si>
  <si>
    <t xml:space="preserve">A1920.2</t>
  </si>
  <si>
    <t xml:space="preserve">Municpal Association Dues</t>
  </si>
  <si>
    <t xml:space="preserve">A1930.4</t>
  </si>
  <si>
    <t xml:space="preserve">Judgement and Claims</t>
  </si>
  <si>
    <t xml:space="preserve">A1950.4</t>
  </si>
  <si>
    <t xml:space="preserve">Tax  Assessmt on Muncp Pr.</t>
  </si>
  <si>
    <t xml:space="preserve">A1990.4</t>
  </si>
  <si>
    <t xml:space="preserve">Contingent</t>
  </si>
  <si>
    <t xml:space="preserve">To Highway Garage A5132.4</t>
  </si>
  <si>
    <t xml:space="preserve">A3310.4</t>
  </si>
  <si>
    <t xml:space="preserve">Traffic Conrtol-Signs</t>
  </si>
  <si>
    <t xml:space="preserve">A3510.1</t>
  </si>
  <si>
    <t xml:space="preserve">Control Dogs Personel Serv.</t>
  </si>
  <si>
    <t xml:space="preserve">A3510.4</t>
  </si>
  <si>
    <t xml:space="preserve">     "         " Contractual Exp.</t>
  </si>
  <si>
    <t xml:space="preserve">A3520.4</t>
  </si>
  <si>
    <t xml:space="preserve">Humane Society Cont. Serv.</t>
  </si>
  <si>
    <t xml:space="preserve">A3620.1</t>
  </si>
  <si>
    <t xml:space="preserve">Code Officer Personal Serv.</t>
  </si>
  <si>
    <t xml:space="preserve">A3620.11</t>
  </si>
  <si>
    <t xml:space="preserve">Code Officer Clerk</t>
  </si>
  <si>
    <t xml:space="preserve">A3620.2</t>
  </si>
  <si>
    <t xml:space="preserve">    "        " Equipment</t>
  </si>
  <si>
    <t xml:space="preserve">A3620.4</t>
  </si>
  <si>
    <t xml:space="preserve">    "        " Contractual Serv.</t>
  </si>
  <si>
    <t xml:space="preserve">A3620.41</t>
  </si>
  <si>
    <t xml:space="preserve">Beautification Grant-Trail</t>
  </si>
  <si>
    <t xml:space="preserve">A4010.4</t>
  </si>
  <si>
    <t xml:space="preserve">Board of Health Cont. Serv.</t>
  </si>
  <si>
    <t xml:space="preserve">A4020.1</t>
  </si>
  <si>
    <t xml:space="preserve">Registrar of Vital Stats/Rec.</t>
  </si>
  <si>
    <t xml:space="preserve">A4050.1</t>
  </si>
  <si>
    <t xml:space="preserve">B T I Director</t>
  </si>
  <si>
    <t xml:space="preserve">A4050.11</t>
  </si>
  <si>
    <t xml:space="preserve">BTI Personal Ser</t>
  </si>
  <si>
    <t xml:space="preserve">A4050.4</t>
  </si>
  <si>
    <t xml:space="preserve">BTI Contractual Expenses</t>
  </si>
  <si>
    <t xml:space="preserve">A4560.4</t>
  </si>
  <si>
    <t xml:space="preserve">Health Officer Contr. Exp.</t>
  </si>
  <si>
    <t xml:space="preserve">A5010.1</t>
  </si>
  <si>
    <t xml:space="preserve">Highway Superintendent</t>
  </si>
  <si>
    <t xml:space="preserve">A5010.11</t>
  </si>
  <si>
    <t xml:space="preserve">Deputy Hightway Superint.</t>
  </si>
  <si>
    <t xml:space="preserve">A5010.12</t>
  </si>
  <si>
    <t xml:space="preserve">Highway Secretary P.S.</t>
  </si>
  <si>
    <t xml:space="preserve">A5010.2</t>
  </si>
  <si>
    <t xml:space="preserve">A5010.4</t>
  </si>
  <si>
    <t xml:space="preserve">Contractual Services</t>
  </si>
  <si>
    <t xml:space="preserve">A5132.4</t>
  </si>
  <si>
    <t xml:space="preserve">Garage Contracual Services</t>
  </si>
  <si>
    <t xml:space="preserve">A51825.4</t>
  </si>
  <si>
    <t xml:space="preserve">Street Lighting-Cont. Exp.</t>
  </si>
  <si>
    <t xml:space="preserve">A6410.4</t>
  </si>
  <si>
    <t xml:space="preserve">A6410.41</t>
  </si>
  <si>
    <t xml:space="preserve">Golf Course Publicity</t>
  </si>
  <si>
    <t xml:space="preserve">A6410.42</t>
  </si>
  <si>
    <t xml:space="preserve">Advertisment, Tourism</t>
  </si>
  <si>
    <t xml:space="preserve">A6410.43</t>
  </si>
  <si>
    <t xml:space="preserve">Sherman's</t>
  </si>
  <si>
    <t xml:space="preserve">A6510.4</t>
  </si>
  <si>
    <t xml:space="preserve">Veterans Services C.E.</t>
  </si>
  <si>
    <t xml:space="preserve">A6772.4</t>
  </si>
  <si>
    <t xml:space="preserve">Programs for the Aging</t>
  </si>
  <si>
    <t xml:space="preserve">A7145.4</t>
  </si>
  <si>
    <t xml:space="preserve">Recreation Trail</t>
  </si>
  <si>
    <t xml:space="preserve">A7180.1</t>
  </si>
  <si>
    <t xml:space="preserve">Golf  Personal Service</t>
  </si>
  <si>
    <t xml:space="preserve">A7180.2</t>
  </si>
  <si>
    <t xml:space="preserve">Golf Course Equipmernt</t>
  </si>
  <si>
    <t xml:space="preserve">A7180.4</t>
  </si>
  <si>
    <t xml:space="preserve">     "       " Contractual Exp.</t>
  </si>
  <si>
    <t xml:space="preserve">A7180.41</t>
  </si>
  <si>
    <t xml:space="preserve">Por-A-John Expense</t>
  </si>
  <si>
    <t xml:space="preserve">A7310.1</t>
  </si>
  <si>
    <t xml:space="preserve">Youth Programs Pers. Serv.</t>
  </si>
  <si>
    <t xml:space="preserve">A7310.2</t>
  </si>
  <si>
    <t xml:space="preserve">     "       "   Equipment</t>
  </si>
  <si>
    <t xml:space="preserve">A7310.41</t>
  </si>
  <si>
    <t xml:space="preserve">Youth Recreation C/E</t>
  </si>
  <si>
    <t xml:space="preserve">A7450.4</t>
  </si>
  <si>
    <t xml:space="preserve">Library Contractual Exp.</t>
  </si>
  <si>
    <t xml:space="preserve">A7540.4</t>
  </si>
  <si>
    <t xml:space="preserve">Museum Contractual Exp.</t>
  </si>
  <si>
    <t xml:space="preserve">A7510.1</t>
  </si>
  <si>
    <t xml:space="preserve">Historian Personal Services</t>
  </si>
  <si>
    <t xml:space="preserve">A7510.4</t>
  </si>
  <si>
    <t xml:space="preserve">A7550.4</t>
  </si>
  <si>
    <t xml:space="preserve">Celebrations Cont. Exp.</t>
  </si>
  <si>
    <t xml:space="preserve">A8010.1</t>
  </si>
  <si>
    <t xml:space="preserve">Zoning Clerk</t>
  </si>
  <si>
    <t xml:space="preserve">A8010.4</t>
  </si>
  <si>
    <t xml:space="preserve">Zoning Contractual Exp.</t>
  </si>
  <si>
    <t xml:space="preserve">A8020.1</t>
  </si>
  <si>
    <t xml:space="preserve">Plannng Board Clerk</t>
  </si>
  <si>
    <t xml:space="preserve">A8020.4</t>
  </si>
  <si>
    <t xml:space="preserve">   "        " Contractual Exp.</t>
  </si>
  <si>
    <t xml:space="preserve">A8020.41</t>
  </si>
  <si>
    <t xml:space="preserve">   "       " Comprehensive Plan</t>
  </si>
  <si>
    <t xml:space="preserve">A8090.1</t>
  </si>
  <si>
    <t xml:space="preserve">Boat Washing Personal Ser.</t>
  </si>
  <si>
    <t xml:space="preserve">A8090.11</t>
  </si>
  <si>
    <t xml:space="preserve">Stewards Personal Ser.</t>
  </si>
  <si>
    <t xml:space="preserve">A8090.12</t>
  </si>
  <si>
    <t xml:space="preserve">Weed Divers/Director PS</t>
  </si>
  <si>
    <t xml:space="preserve">A8090.13</t>
  </si>
  <si>
    <t xml:space="preserve">Weed Director</t>
  </si>
  <si>
    <t xml:space="preserve">A8090.2</t>
  </si>
  <si>
    <t xml:space="preserve">A8090.4</t>
  </si>
  <si>
    <t xml:space="preserve">Environmental Control C/E</t>
  </si>
  <si>
    <t xml:space="preserve">A8090.41</t>
  </si>
  <si>
    <t xml:space="preserve">Lake Weed Control C/E</t>
  </si>
  <si>
    <t xml:space="preserve">A8160.1</t>
  </si>
  <si>
    <t xml:space="preserve">Garbage Removal Personal S</t>
  </si>
  <si>
    <t xml:space="preserve">A8160.4</t>
  </si>
  <si>
    <t xml:space="preserve">Refuse &amp; Garbage C. E.</t>
  </si>
  <si>
    <t xml:space="preserve">A8160.41</t>
  </si>
  <si>
    <t xml:space="preserve">Landfill Testing C/E</t>
  </si>
  <si>
    <t xml:space="preserve">A8810.4</t>
  </si>
  <si>
    <t xml:space="preserve">Cemeteries Mowing</t>
  </si>
  <si>
    <t xml:space="preserve">A8989.41</t>
  </si>
  <si>
    <t xml:space="preserve">Nick Stoner Trails Maint.</t>
  </si>
  <si>
    <t xml:space="preserve">A9010.8</t>
  </si>
  <si>
    <t xml:space="preserve">State Retirement</t>
  </si>
  <si>
    <t xml:space="preserve">A9030.8</t>
  </si>
  <si>
    <t xml:space="preserve">Social Security/Medcr</t>
  </si>
  <si>
    <t xml:space="preserve">A9040.8</t>
  </si>
  <si>
    <t xml:space="preserve">Worker's Compensation Ins.</t>
  </si>
  <si>
    <t xml:space="preserve">A9050.8</t>
  </si>
  <si>
    <t xml:space="preserve">Unemployment Insurance</t>
  </si>
  <si>
    <t xml:space="preserve">A9050.81</t>
  </si>
  <si>
    <t xml:space="preserve">Golf C. Unemp. Ins.</t>
  </si>
  <si>
    <t xml:space="preserve">A9055.8</t>
  </si>
  <si>
    <t xml:space="preserve">Disability Insurance</t>
  </si>
  <si>
    <t xml:space="preserve">A9060.8</t>
  </si>
  <si>
    <t xml:space="preserve">Health Insurance</t>
  </si>
  <si>
    <t xml:space="preserve">A9060.81</t>
  </si>
  <si>
    <t xml:space="preserve">Golf C. Health I.</t>
  </si>
  <si>
    <t xml:space="preserve">A9950.9</t>
  </si>
  <si>
    <t xml:space="preserve">Transfer to Capital Fund</t>
  </si>
  <si>
    <t xml:space="preserve">Adj 2017</t>
  </si>
  <si>
    <t xml:space="preserve">A9950.91</t>
  </si>
  <si>
    <t xml:space="preserve">Weed Harvester Reserve</t>
  </si>
  <si>
    <t xml:space="preserve">A9950.92</t>
  </si>
  <si>
    <t xml:space="preserve">Garabage Truck</t>
  </si>
  <si>
    <t xml:space="preserve">REVENUE General Fund</t>
  </si>
  <si>
    <t xml:space="preserve">A1001</t>
  </si>
  <si>
    <t xml:space="preserve">Real Property Taxes</t>
  </si>
  <si>
    <t xml:space="preserve">A1090</t>
  </si>
  <si>
    <t xml:space="preserve">Interest and Penalties</t>
  </si>
  <si>
    <t xml:space="preserve">A1120</t>
  </si>
  <si>
    <t xml:space="preserve">Sale Tax</t>
  </si>
  <si>
    <t xml:space="preserve">A1170</t>
  </si>
  <si>
    <t xml:space="preserve">Cable Franchise Fee</t>
  </si>
  <si>
    <t xml:space="preserve">A1255</t>
  </si>
  <si>
    <t xml:space="preserve">Clerk Fees</t>
  </si>
  <si>
    <t xml:space="preserve">A2025</t>
  </si>
  <si>
    <t xml:space="preserve">Golf Special Rec. Facl Charge</t>
  </si>
  <si>
    <t xml:space="preserve">A2025.1</t>
  </si>
  <si>
    <t xml:space="preserve">Golf AD Contributions</t>
  </si>
  <si>
    <t xml:space="preserve">A2110</t>
  </si>
  <si>
    <t xml:space="preserve">Zoning Fees</t>
  </si>
  <si>
    <t xml:space="preserve">A2115</t>
  </si>
  <si>
    <t xml:space="preserve">Planning Board Fees</t>
  </si>
  <si>
    <t xml:space="preserve">A2130</t>
  </si>
  <si>
    <t xml:space="preserve">Garbage Disposal Fees</t>
  </si>
  <si>
    <t xml:space="preserve">A2401</t>
  </si>
  <si>
    <t xml:space="preserve">Interest and Earnings</t>
  </si>
  <si>
    <t xml:space="preserve">A2410</t>
  </si>
  <si>
    <t xml:space="preserve">Rental of Real Property</t>
  </si>
  <si>
    <t xml:space="preserve">A2410.1</t>
  </si>
  <si>
    <t xml:space="preserve">Rental Real Property- Cell Tower</t>
  </si>
  <si>
    <t xml:space="preserve">A2416</t>
  </si>
  <si>
    <t xml:space="preserve">Rental of Equipment</t>
  </si>
  <si>
    <t xml:space="preserve">A2501</t>
  </si>
  <si>
    <t xml:space="preserve">Business/Occupational Lic.</t>
  </si>
  <si>
    <t xml:space="preserve">A2544</t>
  </si>
  <si>
    <t xml:space="preserve">Dog Licenses &amp; Permits</t>
  </si>
  <si>
    <t xml:space="preserve">A2555</t>
  </si>
  <si>
    <t xml:space="preserve">Building Permits</t>
  </si>
  <si>
    <t xml:space="preserve">A2590</t>
  </si>
  <si>
    <t xml:space="preserve">Permits other</t>
  </si>
  <si>
    <t xml:space="preserve">A2610</t>
  </si>
  <si>
    <t xml:space="preserve">Fines, Forfeits of Bail</t>
  </si>
  <si>
    <t xml:space="preserve">A2665</t>
  </si>
  <si>
    <t xml:space="preserve">Sale of Equipment</t>
  </si>
  <si>
    <t xml:space="preserve">A2680 </t>
  </si>
  <si>
    <t xml:space="preserve">Insurance Recovery</t>
  </si>
  <si>
    <t xml:space="preserve">A2701</t>
  </si>
  <si>
    <t xml:space="preserve">Refunds from Prior Year</t>
  </si>
  <si>
    <t xml:space="preserve">A2705</t>
  </si>
  <si>
    <t xml:space="preserve">Gifts and Donations</t>
  </si>
  <si>
    <t xml:space="preserve">A2705.1</t>
  </si>
  <si>
    <t xml:space="preserve">Caroga Book Donations</t>
  </si>
  <si>
    <t xml:space="preserve">A2770</t>
  </si>
  <si>
    <t xml:space="preserve">Unclassified Revenues</t>
  </si>
  <si>
    <t xml:space="preserve">A3001</t>
  </si>
  <si>
    <t xml:space="preserve">State per Capita Aid</t>
  </si>
  <si>
    <t xml:space="preserve">A3005</t>
  </si>
  <si>
    <t xml:space="preserve">Mortgage Tax</t>
  </si>
  <si>
    <t xml:space="preserve">A3060</t>
  </si>
  <si>
    <t xml:space="preserve">Steward Grant</t>
  </si>
  <si>
    <t xml:space="preserve">A3620</t>
  </si>
  <si>
    <t xml:space="preserve">Youth Programs </t>
  </si>
  <si>
    <t xml:space="preserve">A4889 </t>
  </si>
  <si>
    <t xml:space="preserve">Trail Grant</t>
  </si>
  <si>
    <t xml:space="preserve">A3820</t>
  </si>
  <si>
    <t xml:space="preserve">HIGHWAY Expenses</t>
  </si>
  <si>
    <t xml:space="preserve">DA5110.1</t>
  </si>
  <si>
    <t xml:space="preserve">General Repairs Personal</t>
  </si>
  <si>
    <t xml:space="preserve">DA5110.11</t>
  </si>
  <si>
    <t xml:space="preserve">Employee Loan Personal</t>
  </si>
  <si>
    <t xml:space="preserve">DA5110.4</t>
  </si>
  <si>
    <t xml:space="preserve">General Repairs Contract.</t>
  </si>
  <si>
    <t xml:space="preserve">DA5112.2</t>
  </si>
  <si>
    <t xml:space="preserve">CHIPS</t>
  </si>
  <si>
    <t xml:space="preserve">DA5120.4</t>
  </si>
  <si>
    <t xml:space="preserve">Bridge Cont. Expenses</t>
  </si>
  <si>
    <t xml:space="preserve">DA5130.2</t>
  </si>
  <si>
    <t xml:space="preserve">Machinery &amp; Equipment</t>
  </si>
  <si>
    <t xml:space="preserve">DA5130.4</t>
  </si>
  <si>
    <t xml:space="preserve">Machinery Cont. Expenses</t>
  </si>
  <si>
    <t xml:space="preserve">DA5142.1</t>
  </si>
  <si>
    <t xml:space="preserve">Personal Services-Snow</t>
  </si>
  <si>
    <t xml:space="preserve">DA5142.11</t>
  </si>
  <si>
    <t xml:space="preserve">Part-Time Snow P.S.</t>
  </si>
  <si>
    <t xml:space="preserve">DA5142.4</t>
  </si>
  <si>
    <t xml:space="preserve">Snow R. Contractual Expense</t>
  </si>
  <si>
    <t xml:space="preserve">`</t>
  </si>
  <si>
    <t xml:space="preserve">DA5148.4</t>
  </si>
  <si>
    <t xml:space="preserve">Services for Other Govt.</t>
  </si>
  <si>
    <t xml:space="preserve">DA9010.8</t>
  </si>
  <si>
    <t xml:space="preserve">DA9030.8</t>
  </si>
  <si>
    <t xml:space="preserve">Social Security/Medicare</t>
  </si>
  <si>
    <t xml:space="preserve">DA9040.8</t>
  </si>
  <si>
    <t xml:space="preserve">DA9050.8</t>
  </si>
  <si>
    <t xml:space="preserve">DA9055.8</t>
  </si>
  <si>
    <t xml:space="preserve">DA9060.8</t>
  </si>
  <si>
    <t xml:space="preserve">DA9060.81</t>
  </si>
  <si>
    <t xml:space="preserve">Drug Testing</t>
  </si>
  <si>
    <t xml:space="preserve">DA9089.8</t>
  </si>
  <si>
    <t xml:space="preserve">Uniforms</t>
  </si>
  <si>
    <t xml:space="preserve">DA9720.6</t>
  </si>
  <si>
    <t xml:space="preserve">Statutory Bond Principle</t>
  </si>
  <si>
    <t xml:space="preserve">DA9720.61</t>
  </si>
  <si>
    <t xml:space="preserve">Bond Principle</t>
  </si>
  <si>
    <t xml:space="preserve">DA9720.7</t>
  </si>
  <si>
    <t xml:space="preserve">Statutory Bond Interest</t>
  </si>
  <si>
    <t xml:space="preserve">DA9720.71</t>
  </si>
  <si>
    <t xml:space="preserve">Bond Interest</t>
  </si>
  <si>
    <t xml:space="preserve">DA9901.9</t>
  </si>
  <si>
    <t xml:space="preserve">Transfer to Equip. Reserve</t>
  </si>
  <si>
    <t xml:space="preserve">REVENUE Highway Fund</t>
  </si>
  <si>
    <t xml:space="preserve">DA1001</t>
  </si>
  <si>
    <t xml:space="preserve">DA2300</t>
  </si>
  <si>
    <t xml:space="preserve">DA2401</t>
  </si>
  <si>
    <t xml:space="preserve">Interest &amp; Earnings</t>
  </si>
  <si>
    <t xml:space="preserve">DA2580 </t>
  </si>
  <si>
    <t xml:space="preserve"> Insurance Recovery</t>
  </si>
  <si>
    <t xml:space="preserve">DA2665</t>
  </si>
  <si>
    <t xml:space="preserve">DA2770</t>
  </si>
  <si>
    <t xml:space="preserve">DA3501</t>
  </si>
  <si>
    <t xml:space="preserve">Consolidated Highway Aide</t>
  </si>
  <si>
    <t xml:space="preserve">DA3960</t>
  </si>
  <si>
    <t xml:space="preserve">St Aid Emergency Disaster Assistance</t>
  </si>
  <si>
    <t xml:space="preserve">DA4960.00</t>
  </si>
  <si>
    <t xml:space="preserve">FIRE Districts</t>
  </si>
  <si>
    <t xml:space="preserve">SF3410.4</t>
  </si>
  <si>
    <t xml:space="preserve">Fire Protection C/E</t>
  </si>
  <si>
    <t xml:space="preserve">SF1001</t>
  </si>
  <si>
    <t xml:space="preserve">TOTAL Expense</t>
  </si>
  <si>
    <t xml:space="preserve">Total Year</t>
  </si>
  <si>
    <t xml:space="preserve">.Jan2019</t>
  </si>
  <si>
    <t xml:space="preserve">.Feb2019</t>
  </si>
  <si>
    <t xml:space="preserve">.March19</t>
  </si>
  <si>
    <t xml:space="preserve">.April19</t>
  </si>
  <si>
    <t xml:space="preserve">.May2019</t>
  </si>
  <si>
    <t xml:space="preserve">.June19</t>
  </si>
  <si>
    <t xml:space="preserve">.July19</t>
  </si>
  <si>
    <t xml:space="preserve">.Aug2019</t>
  </si>
  <si>
    <t xml:space="preserve">.Sept19</t>
  </si>
  <si>
    <t xml:space="preserve">.Oct2019</t>
  </si>
  <si>
    <t xml:space="preserve">.Nov2019</t>
  </si>
  <si>
    <t xml:space="preserve">.Dec2019</t>
  </si>
  <si>
    <t xml:space="preserve">Budget</t>
  </si>
  <si>
    <t xml:space="preserve">A2450</t>
  </si>
  <si>
    <t xml:space="preserve">A3902</t>
  </si>
  <si>
    <t xml:space="preserve">Sewage Planning Study</t>
  </si>
  <si>
    <t xml:space="preserve">A4889</t>
  </si>
  <si>
    <t xml:space="preserve">Culture &amp; Recreation Grant</t>
  </si>
  <si>
    <t xml:space="preserve">TOTAL Revenues</t>
  </si>
  <si>
    <t xml:space="preserve">Rev 1-12/20</t>
  </si>
  <si>
    <t xml:space="preserve">Diff vs Budget</t>
  </si>
  <si>
    <t xml:space="preserve">TC Contractual Expenses</t>
  </si>
  <si>
    <t xml:space="preserve">A1430.4</t>
  </si>
  <si>
    <t xml:space="preserve">Personnel study C/E</t>
  </si>
  <si>
    <t xml:space="preserve">A1440.41</t>
  </si>
  <si>
    <t xml:space="preserve">Sewage Study </t>
  </si>
  <si>
    <t xml:space="preserve">Building E.Q.</t>
  </si>
  <si>
    <t xml:space="preserve">Golf Course Bldg. C.E.</t>
  </si>
  <si>
    <t xml:space="preserve">A1920.4</t>
  </si>
  <si>
    <t xml:space="preserve">A1940.2</t>
  </si>
  <si>
    <t xml:space="preserve">Purchase of Land</t>
  </si>
  <si>
    <t xml:space="preserve">A3620.12</t>
  </si>
  <si>
    <t xml:space="preserve">Code Enforcement Assistant</t>
  </si>
  <si>
    <t xml:space="preserve">A3650.4</t>
  </si>
  <si>
    <t xml:space="preserve">Demolition Unsafe Building </t>
  </si>
  <si>
    <t xml:space="preserve">Board of Health Personal Serv.</t>
  </si>
  <si>
    <t xml:space="preserve">A4020.41</t>
  </si>
  <si>
    <t xml:space="preserve">Record Management C/E</t>
  </si>
  <si>
    <t xml:space="preserve">A4540.4</t>
  </si>
  <si>
    <t xml:space="preserve">Ambulance C. E.</t>
  </si>
  <si>
    <t xml:space="preserve">A7145.1</t>
  </si>
  <si>
    <t xml:space="preserve">Recreation Trail P/S</t>
  </si>
  <si>
    <t xml:space="preserve">A7410.4</t>
  </si>
  <si>
    <t xml:space="preserve">Boat Washing / Steward Coord.</t>
  </si>
  <si>
    <t xml:space="preserve">Weed Divers/Tender PS</t>
  </si>
  <si>
    <t xml:space="preserve">A8090.14</t>
  </si>
  <si>
    <t xml:space="preserve">Weed Director PS</t>
  </si>
  <si>
    <t xml:space="preserve">Boat Washing / Steward C/E</t>
  </si>
  <si>
    <t xml:space="preserve">A8720.2</t>
  </si>
  <si>
    <t xml:space="preserve">Fish and Game Club</t>
  </si>
  <si>
    <t xml:space="preserve">A9040.81</t>
  </si>
  <si>
    <t xml:space="preserve">Worker's Compensation Ins.Golf</t>
  </si>
  <si>
    <t xml:space="preserve"> Revenues</t>
  </si>
  <si>
    <t xml:space="preserve">Expenses</t>
  </si>
  <si>
    <t xml:space="preserve">Cash Accts.</t>
  </si>
  <si>
    <t xml:space="preserve">Golf C. Health Insurance</t>
  </si>
  <si>
    <t xml:space="preserve">Oct-Dec</t>
  </si>
  <si>
    <t xml:space="preserve">3rd sale Tax</t>
  </si>
  <si>
    <t xml:space="preserve">Oct-Dec2019</t>
  </si>
  <si>
    <t xml:space="preserve">Use Fund</t>
  </si>
  <si>
    <t xml:space="preserve">Net Bank</t>
  </si>
  <si>
    <t xml:space="preserve">NYS Grant</t>
  </si>
  <si>
    <t xml:space="preserve">predicted fund balance</t>
  </si>
  <si>
    <t xml:space="preserve">Balance</t>
  </si>
  <si>
    <t xml:space="preserve">TOTAL Expenses</t>
  </si>
  <si>
    <t xml:space="preserve"> Highway Fund</t>
  </si>
  <si>
    <t xml:space="preserve">Est 1-12/20</t>
  </si>
  <si>
    <t xml:space="preserve">DA1120</t>
  </si>
  <si>
    <t xml:space="preserve">Sales Tax</t>
  </si>
  <si>
    <t xml:space="preserve">DA2650</t>
  </si>
  <si>
    <t xml:space="preserve">Sale of Scrap Metal</t>
  </si>
  <si>
    <t xml:space="preserve">Snow Contractual Expenses</t>
  </si>
  <si>
    <t xml:space="preserve">Chips</t>
  </si>
  <si>
    <t xml:space="preserve">Diff</t>
  </si>
  <si>
    <t xml:space="preserve">Tenative</t>
  </si>
  <si>
    <t xml:space="preserve">Final Rate</t>
  </si>
  <si>
    <t xml:space="preserve">Rev Assessed $</t>
  </si>
  <si>
    <t xml:space="preserve">FUND</t>
  </si>
  <si>
    <t xml:space="preserve">Rate Per 1,000</t>
  </si>
  <si>
    <t xml:space="preserve"> Per 1,000</t>
  </si>
  <si>
    <t xml:space="preserve">2020 vs 2019</t>
  </si>
  <si>
    <t xml:space="preserve">Final Adj ?</t>
  </si>
  <si>
    <t xml:space="preserve">General Town-wide</t>
  </si>
  <si>
    <t xml:space="preserve">Highway Town-wide</t>
  </si>
  <si>
    <t xml:space="preserve">Total Town per Tax Bill</t>
  </si>
  <si>
    <t xml:space="preserve">Rate  of Change  %</t>
  </si>
  <si>
    <t xml:space="preserve">Fire Contract</t>
  </si>
  <si>
    <t xml:space="preserve">NBT Mang. Insurance</t>
  </si>
  <si>
    <t xml:space="preserve">Inv 9/19</t>
  </si>
  <si>
    <t xml:space="preserve">Variance</t>
  </si>
  <si>
    <t xml:space="preserve">Date</t>
  </si>
  <si>
    <t xml:space="preserve">Description</t>
  </si>
  <si>
    <t xml:space="preserve">Amount</t>
  </si>
  <si>
    <t xml:space="preserve">Renewal for PACK </t>
  </si>
  <si>
    <t xml:space="preserve">Renewal Excess Catastrophe Liability</t>
  </si>
  <si>
    <t xml:space="preserve">Renewal CRIME #1066856</t>
  </si>
  <si>
    <t xml:space="preserve">Fire Fee</t>
  </si>
  <si>
    <t xml:space="preserve">Renewal for CUMB-Auto, MotorVF</t>
  </si>
  <si>
    <t xml:space="preserve">Renewal for PULI- Officials Liab.</t>
  </si>
  <si>
    <t xml:space="preserve">Renewal for FLOA-Inland Marine</t>
  </si>
  <si>
    <t xml:space="preserve">Renewal for OCP</t>
  </si>
  <si>
    <t xml:space="preserve">Auto +2002Pickup 6/8/17</t>
  </si>
  <si>
    <t xml:space="preserve">Auto +2002Pickup 9/1/17</t>
  </si>
  <si>
    <t xml:space="preserve">Statement</t>
  </si>
  <si>
    <t xml:space="preserve">Changes Auto</t>
  </si>
  <si>
    <t xml:space="preserve">Policy#L750509214 (F &amp; D bond renewal)</t>
  </si>
  <si>
    <t xml:space="preserve">Renewal for GACC Summer Youth 11/1/17</t>
  </si>
  <si>
    <t xml:space="preserve">Sub</t>
  </si>
  <si>
    <t xml:space="preserve">Sherman's Buildings</t>
  </si>
  <si>
    <t xml:space="preserve">Auto +2020 International Plow</t>
  </si>
  <si>
    <t xml:space="preserve">Golf Mowers</t>
  </si>
  <si>
    <t xml:space="preserve">Total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</si>
</sst>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M/D/YYYY"/>
    <numFmt numFmtId="166" formatCode="_(* #,##0.00_);_(* \(#,##0.00\);_(* \-??_);_(@_)"/>
    <numFmt numFmtId="167" formatCode="_(\$* #,##0.00_);_(\$* \(#,##0.00\);_(\$* \-??_);_(@_)"/>
    <numFmt numFmtId="168" formatCode="_(* #,##0_);_(* \(#,##0\);_(* \-??_);_(@_)"/>
    <numFmt numFmtId="169" formatCode="_(\$* #,##0_);_(\$* \(#,##0\);_(\$* \-??_);_(@_)"/>
    <numFmt numFmtId="170" formatCode="0.000000"/>
    <numFmt numFmtId="171" formatCode="0.0000"/>
    <numFmt numFmtId="172" formatCode="0.00000"/>
    <numFmt numFmtId="173" formatCode="0.00"/>
    <numFmt numFmtId="174" formatCode="0%"/>
    <numFmt numFmtId="175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4" topLeftCell="B39" activePane="bottomRight" state="frozen"/>
      <selection pane="topLeft" activeCell="A1" activeCellId="0" sqref="A1"/>
      <selection pane="topRight" activeCell="B1" activeCellId="0" sqref="B1"/>
      <selection pane="bottomLeft" activeCell="A39" activeCellId="0" sqref="A39"/>
      <selection pane="bottomRight" activeCell="A49" activeCellId="0" sqref="A49"/>
    </sheetView>
  </sheetViews>
  <sheetFormatPr defaultRowHeight="15" zeroHeight="false" outlineLevelRow="0" outlineLevelCol="0"/>
  <cols>
    <col collapsed="false" customWidth="true" hidden="false" outlineLevel="0" max="1" min="1" style="0" width="13.62"/>
    <col collapsed="false" customWidth="true" hidden="false" outlineLevel="0" max="2" min="2" style="0" width="10.58"/>
    <col collapsed="false" customWidth="true" hidden="false" outlineLevel="0" max="3" min="3" style="0" width="9.58"/>
    <col collapsed="false" customWidth="true" hidden="false" outlineLevel="0" max="4" min="4" style="0" width="10.58"/>
    <col collapsed="false" customWidth="true" hidden="false" outlineLevel="0" max="6" min="5" style="0" width="9.58"/>
    <col collapsed="false" customWidth="true" hidden="false" outlineLevel="0" max="7" min="7" style="0" width="8.67"/>
    <col collapsed="false" customWidth="true" hidden="false" outlineLevel="0" max="8" min="8" style="0" width="9.58"/>
    <col collapsed="false" customWidth="true" hidden="false" outlineLevel="0" max="9" min="9" style="0" width="10.42"/>
    <col collapsed="false" customWidth="true" hidden="false" outlineLevel="0" max="10" min="10" style="0" width="8.67"/>
    <col collapsed="false" customWidth="true" hidden="false" outlineLevel="0" max="11" min="11" style="0" width="11.57"/>
    <col collapsed="false" customWidth="true" hidden="false" outlineLevel="0" max="12" min="12" style="0" width="9.71"/>
    <col collapsed="false" customWidth="true" hidden="false" outlineLevel="0" max="13" min="13" style="0" width="10.58"/>
    <col collapsed="false" customWidth="true" hidden="false" outlineLevel="0" max="1025" min="14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3" customFormat="false" ht="15" hidden="false" customHeight="false" outlineLevel="0" collapsed="false">
      <c r="A3" s="0" t="s">
        <v>2</v>
      </c>
      <c r="K3" s="0" t="s">
        <v>3</v>
      </c>
    </row>
    <row r="4" customFormat="false" ht="15" hidden="false" customHeight="false" outlineLevel="0" collapsed="false">
      <c r="A4" s="0" t="s">
        <v>4</v>
      </c>
      <c r="B4" s="0" t="s">
        <v>5</v>
      </c>
      <c r="C4" s="0" t="s">
        <v>6</v>
      </c>
      <c r="D4" s="0" t="s">
        <v>7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false" customHeight="false" outlineLevel="0" collapsed="false">
      <c r="A5" s="1" t="n">
        <v>42775</v>
      </c>
      <c r="B5" s="2" t="n">
        <v>5985</v>
      </c>
      <c r="D5" s="2" t="n">
        <v>175</v>
      </c>
      <c r="K5" s="3" t="n">
        <f aca="false">SUM(B5:J5)</f>
        <v>6160</v>
      </c>
      <c r="L5" s="1"/>
      <c r="M5" s="2"/>
    </row>
    <row r="6" customFormat="false" ht="15" hidden="false" customHeight="false" outlineLevel="0" collapsed="false">
      <c r="A6" s="1" t="n">
        <v>42775</v>
      </c>
      <c r="B6" s="2"/>
      <c r="D6" s="2"/>
      <c r="H6" s="2" t="n">
        <f aca="false">140+175+35</f>
        <v>350</v>
      </c>
      <c r="I6" s="2" t="n">
        <f aca="false">52.5+52.5+70+52.5+87.5+17.5</f>
        <v>332.5</v>
      </c>
      <c r="K6" s="3" t="n">
        <f aca="false">SUM(B6:J6)</f>
        <v>682.5</v>
      </c>
      <c r="L6" s="1"/>
      <c r="M6" s="2"/>
    </row>
    <row r="7" customFormat="false" ht="15" hidden="false" customHeight="false" outlineLevel="0" collapsed="false">
      <c r="A7" s="1" t="n">
        <v>42775</v>
      </c>
      <c r="B7" s="2" t="n">
        <v>4152.25</v>
      </c>
      <c r="D7" s="2"/>
      <c r="K7" s="3" t="n">
        <f aca="false">SUM(B7:J7)</f>
        <v>4152.25</v>
      </c>
      <c r="L7" s="1"/>
      <c r="M7" s="2"/>
    </row>
    <row r="8" customFormat="false" ht="15" hidden="false" customHeight="false" outlineLevel="0" collapsed="false">
      <c r="A8" s="1" t="n">
        <v>42807</v>
      </c>
      <c r="B8" s="2" t="n">
        <v>1697.5</v>
      </c>
      <c r="K8" s="3" t="n">
        <f aca="false">SUM(B8:J8)</f>
        <v>1697.5</v>
      </c>
      <c r="L8" s="1"/>
      <c r="M8" s="2"/>
    </row>
    <row r="9" customFormat="false" ht="15" hidden="false" customHeight="false" outlineLevel="0" collapsed="false">
      <c r="A9" s="1" t="n">
        <v>42807</v>
      </c>
      <c r="H9" s="2" t="n">
        <f aca="false">35+962.5</f>
        <v>997.5</v>
      </c>
      <c r="I9" s="2" t="n">
        <f aca="false">87.5+52.5</f>
        <v>140</v>
      </c>
      <c r="K9" s="3" t="n">
        <f aca="false">SUM(B9:J9)</f>
        <v>1137.5</v>
      </c>
      <c r="L9" s="1"/>
      <c r="M9" s="2"/>
    </row>
    <row r="10" customFormat="false" ht="15" hidden="false" customHeight="false" outlineLevel="0" collapsed="false">
      <c r="A10" s="1" t="n">
        <v>42807</v>
      </c>
      <c r="B10" s="2" t="n">
        <v>1280</v>
      </c>
      <c r="K10" s="3" t="n">
        <f aca="false">SUM(B10:J10)</f>
        <v>1280</v>
      </c>
      <c r="L10" s="1"/>
      <c r="M10" s="2"/>
    </row>
    <row r="11" customFormat="false" ht="15" hidden="false" customHeight="false" outlineLevel="0" collapsed="false">
      <c r="A11" s="1" t="n">
        <v>42885</v>
      </c>
      <c r="B11" s="2" t="n">
        <v>2915.3</v>
      </c>
      <c r="C11" s="2" t="n">
        <v>1365</v>
      </c>
      <c r="K11" s="3" t="n">
        <f aca="false">SUM(B11:J11)</f>
        <v>4280.3</v>
      </c>
    </row>
    <row r="12" customFormat="false" ht="15" hidden="false" customHeight="false" outlineLevel="0" collapsed="false">
      <c r="A12" s="1" t="n">
        <v>42912</v>
      </c>
      <c r="B12" s="2"/>
      <c r="C12" s="2"/>
      <c r="F12" s="2" t="n">
        <f aca="false">350-140</f>
        <v>210</v>
      </c>
      <c r="H12" s="2" t="n">
        <f aca="false">52.5+52.5+35</f>
        <v>140</v>
      </c>
      <c r="K12" s="3" t="n">
        <f aca="false">SUM(B12:J12)</f>
        <v>350</v>
      </c>
      <c r="M12" s="4"/>
    </row>
    <row r="13" customFormat="false" ht="15" hidden="false" customHeight="false" outlineLevel="0" collapsed="false">
      <c r="A13" s="1" t="n">
        <v>42930</v>
      </c>
      <c r="B13" s="2" t="n">
        <f aca="false">14577.5+182.18</f>
        <v>14759.68</v>
      </c>
      <c r="C13" s="2"/>
      <c r="K13" s="3" t="n">
        <f aca="false">SUM(B13:J13)</f>
        <v>14759.68</v>
      </c>
    </row>
    <row r="14" customFormat="false" ht="15" hidden="false" customHeight="false" outlineLevel="0" collapsed="false">
      <c r="A14" s="1" t="n">
        <v>42936</v>
      </c>
      <c r="B14" s="2"/>
      <c r="C14" s="2" t="n">
        <f aca="false">682.5+35</f>
        <v>717.5</v>
      </c>
      <c r="H14" s="2"/>
      <c r="J14" s="2"/>
      <c r="K14" s="3" t="n">
        <f aca="false">SUM(B14:J14)</f>
        <v>717.5</v>
      </c>
    </row>
    <row r="15" customFormat="false" ht="15" hidden="false" customHeight="false" outlineLevel="0" collapsed="false">
      <c r="A15" s="1" t="n">
        <v>42936</v>
      </c>
      <c r="C15" s="2" t="n">
        <v>245</v>
      </c>
      <c r="D15" s="2"/>
      <c r="F15" s="2"/>
      <c r="H15" s="2" t="n">
        <f aca="false">35+35+52.5</f>
        <v>122.5</v>
      </c>
      <c r="J15" s="2" t="n">
        <f aca="false">752.5-122.5-245</f>
        <v>385</v>
      </c>
      <c r="K15" s="3" t="n">
        <f aca="false">SUM(B15:J15)</f>
        <v>752.5</v>
      </c>
    </row>
    <row r="16" customFormat="false" ht="15" hidden="false" customHeight="false" outlineLevel="0" collapsed="false">
      <c r="A16" s="1" t="n">
        <v>42963</v>
      </c>
      <c r="C16" s="2"/>
      <c r="D16" s="2" t="n">
        <v>262.5</v>
      </c>
      <c r="F16" s="2" t="n">
        <v>420</v>
      </c>
      <c r="K16" s="3" t="n">
        <f aca="false">SUM(B16:J16)</f>
        <v>682.5</v>
      </c>
    </row>
    <row r="17" customFormat="false" ht="15" hidden="false" customHeight="false" outlineLevel="0" collapsed="false">
      <c r="A17" s="1" t="n">
        <v>42965</v>
      </c>
      <c r="B17" s="2" t="n">
        <v>2642.5</v>
      </c>
      <c r="K17" s="3" t="n">
        <f aca="false">SUM(B17:J17)</f>
        <v>2642.5</v>
      </c>
    </row>
    <row r="18" customFormat="false" ht="15" hidden="false" customHeight="false" outlineLevel="0" collapsed="false">
      <c r="A18" s="1" t="n">
        <v>43039</v>
      </c>
      <c r="D18" s="2" t="n">
        <f aca="false">665-507.5</f>
        <v>157.5</v>
      </c>
      <c r="E18" s="2" t="n">
        <f aca="false">35+17.5</f>
        <v>52.5</v>
      </c>
      <c r="F18" s="2" t="n">
        <f aca="false">122.5+140+105+87.5</f>
        <v>455</v>
      </c>
      <c r="G18" s="0" t="n">
        <v>0</v>
      </c>
      <c r="K18" s="3" t="n">
        <f aca="false">SUM(B18:J18)</f>
        <v>665</v>
      </c>
    </row>
    <row r="19" customFormat="false" ht="15" hidden="false" customHeight="false" outlineLevel="0" collapsed="false">
      <c r="A19" s="1" t="n">
        <v>43039</v>
      </c>
      <c r="D19" s="2" t="n">
        <v>577.5</v>
      </c>
      <c r="K19" s="3" t="n">
        <f aca="false">SUM(B19:J19)</f>
        <v>577.5</v>
      </c>
    </row>
    <row r="20" customFormat="false" ht="15" hidden="false" customHeight="false" outlineLevel="0" collapsed="false">
      <c r="A20" s="1" t="n">
        <v>43039</v>
      </c>
      <c r="B20" s="2" t="n">
        <v>8496.34</v>
      </c>
      <c r="K20" s="3" t="n">
        <f aca="false">SUM(B20:J20)</f>
        <v>8496.34</v>
      </c>
    </row>
    <row r="21" customFormat="false" ht="15" hidden="false" customHeight="false" outlineLevel="0" collapsed="false">
      <c r="A21" s="1" t="n">
        <v>43083</v>
      </c>
      <c r="B21" s="2" t="n">
        <v>7770</v>
      </c>
      <c r="D21" s="2" t="n">
        <v>1102.5</v>
      </c>
      <c r="K21" s="3" t="n">
        <f aca="false">SUM(B21:J21)</f>
        <v>8872.5</v>
      </c>
    </row>
    <row r="22" customFormat="false" ht="15" hidden="false" customHeight="false" outlineLevel="0" collapsed="false">
      <c r="A22" s="1" t="n">
        <v>43083</v>
      </c>
      <c r="B22" s="2"/>
      <c r="E22" s="2" t="n">
        <f aca="false">52.5+52.5+87.5+295</f>
        <v>487.5</v>
      </c>
      <c r="F22" s="2" t="n">
        <f aca="false">175+157.5+472.5+35+35+70+35</f>
        <v>980</v>
      </c>
      <c r="H22" s="2" t="n">
        <f aca="false">122.5+52.5</f>
        <v>175</v>
      </c>
      <c r="K22" s="3" t="n">
        <f aca="false">SUM(B22:J22)</f>
        <v>1642.5</v>
      </c>
    </row>
    <row r="23" customFormat="false" ht="15" hidden="false" customHeight="false" outlineLevel="0" collapsed="false">
      <c r="A23" s="1" t="s">
        <v>14</v>
      </c>
      <c r="B23" s="5" t="n">
        <f aca="false">SUM(B5:B22)</f>
        <v>49698.57</v>
      </c>
      <c r="C23" s="5" t="n">
        <f aca="false">SUM(C5:C22)</f>
        <v>2327.5</v>
      </c>
      <c r="D23" s="5" t="n">
        <f aca="false">SUM(D5:D22)</f>
        <v>2275</v>
      </c>
      <c r="E23" s="5" t="n">
        <f aca="false">SUM(E5:E22)</f>
        <v>540</v>
      </c>
      <c r="F23" s="5" t="n">
        <f aca="false">SUM(F5:F22)</f>
        <v>2065</v>
      </c>
      <c r="G23" s="5" t="n">
        <f aca="false">SUM(G5:G22)</f>
        <v>0</v>
      </c>
      <c r="H23" s="5" t="n">
        <f aca="false">SUM(H5:H22)</f>
        <v>1785</v>
      </c>
      <c r="I23" s="5" t="n">
        <f aca="false">SUM(I5:I22)</f>
        <v>472.5</v>
      </c>
      <c r="J23" s="5" t="n">
        <f aca="false">SUM(J5:J22)</f>
        <v>385</v>
      </c>
      <c r="K23" s="6" t="n">
        <f aca="false">SUM(K5:K22)</f>
        <v>59548.57</v>
      </c>
    </row>
    <row r="24" customFormat="false" ht="15" hidden="false" customHeight="false" outlineLevel="0" collapsed="false">
      <c r="A24" s="1" t="n">
        <v>43116</v>
      </c>
      <c r="B24" s="2"/>
      <c r="D24" s="2" t="n">
        <v>0</v>
      </c>
      <c r="E24" s="2" t="n">
        <v>70</v>
      </c>
      <c r="F24" s="2" t="n">
        <f aca="false">122.5+122.5+52.5</f>
        <v>297.5</v>
      </c>
      <c r="K24" s="3" t="n">
        <f aca="false">SUM(B24:J24)</f>
        <v>367.5</v>
      </c>
    </row>
    <row r="25" customFormat="false" ht="15" hidden="false" customHeight="false" outlineLevel="0" collapsed="false">
      <c r="A25" s="1" t="n">
        <v>43116</v>
      </c>
      <c r="B25" s="2" t="n">
        <v>8347.5</v>
      </c>
      <c r="D25" s="2" t="n">
        <v>98</v>
      </c>
      <c r="K25" s="3" t="n">
        <f aca="false">SUM(B25:J25)</f>
        <v>8445.5</v>
      </c>
    </row>
    <row r="26" customFormat="false" ht="15" hidden="false" customHeight="false" outlineLevel="0" collapsed="false">
      <c r="A26" s="1" t="n">
        <v>43153</v>
      </c>
      <c r="B26" s="2" t="n">
        <v>262.5</v>
      </c>
      <c r="D26" s="2" t="n">
        <v>840</v>
      </c>
      <c r="K26" s="3" t="n">
        <f aca="false">SUM(B26:J26)</f>
        <v>1102.5</v>
      </c>
    </row>
    <row r="27" customFormat="false" ht="15" hidden="false" customHeight="false" outlineLevel="0" collapsed="false">
      <c r="A27" s="1" t="n">
        <v>43153</v>
      </c>
      <c r="B27" s="2"/>
      <c r="E27" s="2" t="n">
        <f aca="false">70+87.5+35+70+70</f>
        <v>332.5</v>
      </c>
      <c r="H27" s="2" t="n">
        <f aca="false">52.5+17.5</f>
        <v>70</v>
      </c>
      <c r="K27" s="3" t="n">
        <f aca="false">SUM(B27:J27)</f>
        <v>402.5</v>
      </c>
    </row>
    <row r="28" customFormat="false" ht="15" hidden="false" customHeight="false" outlineLevel="0" collapsed="false">
      <c r="A28" s="1" t="n">
        <v>43164</v>
      </c>
      <c r="B28" s="2"/>
      <c r="D28" s="2" t="n">
        <v>122.5</v>
      </c>
      <c r="H28" s="2" t="n">
        <v>35</v>
      </c>
      <c r="K28" s="3" t="n">
        <f aca="false">SUM(B28:J28)</f>
        <v>157.5</v>
      </c>
    </row>
    <row r="29" customFormat="false" ht="15" hidden="false" customHeight="false" outlineLevel="0" collapsed="false">
      <c r="A29" s="1" t="n">
        <v>43174</v>
      </c>
      <c r="B29" s="2"/>
      <c r="C29" s="0" t="s">
        <v>15</v>
      </c>
      <c r="D29" s="2" t="n">
        <v>1630</v>
      </c>
      <c r="K29" s="3" t="n">
        <f aca="false">SUM(B29:J29)</f>
        <v>1630</v>
      </c>
    </row>
    <row r="30" customFormat="false" ht="15" hidden="false" customHeight="false" outlineLevel="0" collapsed="false">
      <c r="A30" s="1" t="n">
        <v>43174</v>
      </c>
      <c r="B30" s="2"/>
      <c r="C30" s="0" t="s">
        <v>16</v>
      </c>
      <c r="D30" s="2" t="n">
        <v>256</v>
      </c>
      <c r="K30" s="3" t="n">
        <f aca="false">SUM(B30:J30)</f>
        <v>256</v>
      </c>
    </row>
    <row r="31" customFormat="false" ht="15" hidden="false" customHeight="false" outlineLevel="0" collapsed="false">
      <c r="A31" s="1" t="n">
        <v>43203</v>
      </c>
      <c r="B31" s="2"/>
      <c r="D31" s="2" t="n">
        <v>612.5</v>
      </c>
      <c r="J31" s="2" t="n">
        <v>87.5</v>
      </c>
      <c r="K31" s="3" t="n">
        <f aca="false">SUM(B31:J31)</f>
        <v>700</v>
      </c>
    </row>
    <row r="32" customFormat="false" ht="15" hidden="false" customHeight="false" outlineLevel="0" collapsed="false">
      <c r="A32" s="1" t="n">
        <v>43242</v>
      </c>
      <c r="B32" s="2" t="n">
        <v>1295</v>
      </c>
      <c r="D32" s="2" t="n">
        <v>542.5</v>
      </c>
      <c r="E32" s="2" t="n">
        <v>35</v>
      </c>
      <c r="J32" s="2" t="n">
        <v>35</v>
      </c>
      <c r="K32" s="3" t="n">
        <f aca="false">SUM(B32:J32)</f>
        <v>1907.5</v>
      </c>
    </row>
    <row r="33" customFormat="false" ht="15" hidden="false" customHeight="false" outlineLevel="0" collapsed="false">
      <c r="A33" s="1" t="n">
        <v>43235</v>
      </c>
      <c r="C33" s="0" t="s">
        <v>15</v>
      </c>
      <c r="D33" s="2" t="n">
        <v>2560</v>
      </c>
      <c r="K33" s="3" t="n">
        <f aca="false">SUM(B33:J33)</f>
        <v>2560</v>
      </c>
    </row>
    <row r="34" customFormat="false" ht="15" hidden="false" customHeight="false" outlineLevel="0" collapsed="false">
      <c r="A34" s="1" t="n">
        <v>43266</v>
      </c>
      <c r="C34" s="0" t="s">
        <v>15</v>
      </c>
      <c r="D34" s="2" t="n">
        <v>800</v>
      </c>
      <c r="K34" s="3" t="n">
        <f aca="false">SUM(B34:J34)</f>
        <v>800</v>
      </c>
    </row>
    <row r="35" customFormat="false" ht="15" hidden="false" customHeight="false" outlineLevel="0" collapsed="false">
      <c r="A35" s="1" t="n">
        <v>43277</v>
      </c>
      <c r="C35" s="0" t="s">
        <v>17</v>
      </c>
      <c r="H35" s="2" t="n">
        <v>927</v>
      </c>
      <c r="K35" s="3" t="n">
        <f aca="false">SUM(B35:J35)</f>
        <v>927</v>
      </c>
    </row>
    <row r="36" customFormat="false" ht="15" hidden="false" customHeight="false" outlineLevel="0" collapsed="false">
      <c r="A36" s="1" t="n">
        <v>43294</v>
      </c>
      <c r="B36" s="2" t="n">
        <v>385</v>
      </c>
      <c r="E36" s="2" t="n">
        <v>52.5</v>
      </c>
      <c r="K36" s="3" t="n">
        <f aca="false">SUM(B36:J36)</f>
        <v>437.5</v>
      </c>
    </row>
    <row r="37" customFormat="false" ht="15" hidden="false" customHeight="false" outlineLevel="0" collapsed="false">
      <c r="A37" s="1" t="n">
        <v>43327</v>
      </c>
      <c r="B37" s="2" t="n">
        <v>717.5</v>
      </c>
      <c r="D37" s="2" t="n">
        <v>35</v>
      </c>
      <c r="E37" s="2"/>
      <c r="K37" s="3" t="n">
        <f aca="false">SUM(B37:J37)</f>
        <v>752.5</v>
      </c>
    </row>
    <row r="38" customFormat="false" ht="15" hidden="false" customHeight="false" outlineLevel="0" collapsed="false">
      <c r="A38" s="1" t="n">
        <v>43363</v>
      </c>
      <c r="B38" s="2" t="n">
        <v>297.5</v>
      </c>
      <c r="E38" s="2"/>
      <c r="K38" s="3" t="n">
        <f aca="false">SUM(B38:J38)</f>
        <v>297.5</v>
      </c>
    </row>
    <row r="39" customFormat="false" ht="15" hidden="false" customHeight="false" outlineLevel="0" collapsed="false">
      <c r="A39" s="1" t="n">
        <v>43392</v>
      </c>
      <c r="B39" s="2" t="n">
        <v>175</v>
      </c>
      <c r="E39" s="2"/>
      <c r="K39" s="3" t="n">
        <f aca="false">SUM(B39:J39)</f>
        <v>175</v>
      </c>
    </row>
    <row r="40" customFormat="false" ht="15" hidden="false" customHeight="false" outlineLevel="0" collapsed="false">
      <c r="A40" s="1" t="n">
        <v>43394</v>
      </c>
      <c r="B40" s="2" t="n">
        <v>180</v>
      </c>
      <c r="C40" s="0" t="s">
        <v>18</v>
      </c>
      <c r="E40" s="2"/>
      <c r="K40" s="3" t="n">
        <f aca="false">SUM(B40:J40)</f>
        <v>180</v>
      </c>
    </row>
    <row r="41" customFormat="false" ht="15" hidden="false" customHeight="false" outlineLevel="0" collapsed="false">
      <c r="A41" s="1" t="n">
        <v>43418</v>
      </c>
      <c r="B41" s="2" t="n">
        <v>437.5</v>
      </c>
      <c r="D41" s="2" t="n">
        <v>35</v>
      </c>
      <c r="E41" s="2"/>
      <c r="K41" s="3" t="n">
        <f aca="false">SUM(B41:J41)</f>
        <v>472.5</v>
      </c>
    </row>
    <row r="42" customFormat="false" ht="15" hidden="false" customHeight="false" outlineLevel="0" collapsed="false">
      <c r="A42" s="1" t="n">
        <v>43446</v>
      </c>
      <c r="B42" s="2" t="n">
        <v>472.5</v>
      </c>
      <c r="D42" s="2" t="n">
        <v>35</v>
      </c>
      <c r="K42" s="3" t="n">
        <f aca="false">SUM(B42:J42)</f>
        <v>507.5</v>
      </c>
    </row>
    <row r="43" customFormat="false" ht="15" hidden="false" customHeight="false" outlineLevel="0" collapsed="false">
      <c r="A43" s="1" t="s">
        <v>14</v>
      </c>
      <c r="B43" s="7" t="n">
        <f aca="false">SUM(B25:B42)</f>
        <v>12570</v>
      </c>
      <c r="C43" s="7" t="n">
        <f aca="false">SUM(C25:C42)</f>
        <v>0</v>
      </c>
      <c r="D43" s="7" t="n">
        <f aca="false">SUM(D25:D42)</f>
        <v>7566.5</v>
      </c>
      <c r="E43" s="7" t="n">
        <f aca="false">SUM(E24:E42)</f>
        <v>490</v>
      </c>
      <c r="F43" s="7" t="n">
        <f aca="false">SUM(F25:F42)</f>
        <v>0</v>
      </c>
      <c r="G43" s="7" t="n">
        <f aca="false">SUM(G25:G42)</f>
        <v>0</v>
      </c>
      <c r="H43" s="7" t="n">
        <f aca="false">SUM(H25:H42)</f>
        <v>1032</v>
      </c>
      <c r="I43" s="7" t="n">
        <f aca="false">SUM(I25:I42)</f>
        <v>0</v>
      </c>
      <c r="J43" s="7" t="n">
        <f aca="false">SUM(J25:J42)</f>
        <v>122.5</v>
      </c>
      <c r="K43" s="6" t="n">
        <f aca="false">SUM(K24:K42)</f>
        <v>22078.5</v>
      </c>
    </row>
    <row r="47" customFormat="false" ht="15" hidden="false" customHeight="false" outlineLevel="0" collapsed="false">
      <c r="A47" s="0" t="s">
        <v>3</v>
      </c>
      <c r="B47" s="4" t="n">
        <f aca="false">B23+B43</f>
        <v>62268.57</v>
      </c>
      <c r="C47" s="4" t="n">
        <f aca="false">C23+C43</f>
        <v>2327.5</v>
      </c>
      <c r="D47" s="4" t="n">
        <f aca="false">D23+D43</f>
        <v>9841.5</v>
      </c>
      <c r="E47" s="4" t="n">
        <f aca="false">E23+E43</f>
        <v>1030</v>
      </c>
      <c r="F47" s="4" t="n">
        <f aca="false">F23+F43</f>
        <v>2065</v>
      </c>
      <c r="G47" s="4" t="n">
        <f aca="false">G23+G43</f>
        <v>0</v>
      </c>
      <c r="H47" s="4" t="n">
        <f aca="false">H23+H43</f>
        <v>2817</v>
      </c>
      <c r="I47" s="4" t="n">
        <f aca="false">I23+I43</f>
        <v>472.5</v>
      </c>
      <c r="J47" s="4" t="n">
        <f aca="false">J23+J43</f>
        <v>507.5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G164" activePane="bottomRight" state="frozen"/>
      <selection pane="topLeft" activeCell="A1" activeCellId="0" sqref="A1"/>
      <selection pane="topRight" activeCell="G1" activeCellId="0" sqref="G1"/>
      <selection pane="bottomLeft" activeCell="A164" activeCellId="0" sqref="A164"/>
      <selection pane="bottomRight" activeCell="B169" activeCellId="0" sqref="B169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25.71"/>
    <col collapsed="false" customWidth="true" hidden="false" outlineLevel="0" max="5" min="3" style="0" width="11.57"/>
    <col collapsed="false" customWidth="true" hidden="false" outlineLevel="0" max="7" min="6" style="0" width="11.29"/>
    <col collapsed="false" customWidth="tru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1.29"/>
    <col collapsed="false" customWidth="true" hidden="false" outlineLevel="0" max="11" min="11" style="0" width="11.57"/>
    <col collapsed="false" customWidth="true" hidden="false" outlineLevel="0" max="13" min="12" style="0" width="11.29"/>
    <col collapsed="false" customWidth="true" hidden="false" outlineLevel="0" max="14" min="14" style="0" width="11.57"/>
    <col collapsed="false" customWidth="true" hidden="false" outlineLevel="0" max="16" min="15" style="0" width="11.29"/>
    <col collapsed="false" customWidth="true" hidden="false" outlineLevel="0" max="17" min="17" style="0" width="13.29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8"/>
      <c r="B1" s="8" t="s">
        <v>19</v>
      </c>
      <c r="C1" s="9" t="n">
        <v>2017</v>
      </c>
      <c r="D1" s="10" t="n">
        <v>2018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26</v>
      </c>
      <c r="L1" s="8" t="s">
        <v>27</v>
      </c>
      <c r="M1" s="8" t="s">
        <v>28</v>
      </c>
      <c r="N1" s="8" t="s">
        <v>29</v>
      </c>
      <c r="O1" s="8" t="s">
        <v>30</v>
      </c>
      <c r="P1" s="8" t="s">
        <v>31</v>
      </c>
      <c r="Q1" s="9" t="s">
        <v>3</v>
      </c>
    </row>
    <row r="2" customFormat="false" ht="15" hidden="false" customHeight="false" outlineLevel="0" collapsed="false">
      <c r="A2" s="8"/>
      <c r="B2" s="8" t="s">
        <v>32</v>
      </c>
      <c r="C2" s="9" t="s">
        <v>33</v>
      </c>
      <c r="D2" s="10" t="s">
        <v>33</v>
      </c>
      <c r="E2" s="8"/>
      <c r="F2" s="8"/>
      <c r="G2" s="8"/>
      <c r="H2" s="8"/>
      <c r="I2" s="8"/>
      <c r="J2" s="8"/>
      <c r="K2" s="8"/>
      <c r="L2" s="8"/>
    </row>
    <row r="3" customFormat="false" ht="15" hidden="false" customHeight="false" outlineLevel="0" collapsed="false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customFormat="false" ht="15" hidden="false" customHeight="false" outlineLevel="0" collapsed="false">
      <c r="A4" s="11" t="s">
        <v>34</v>
      </c>
      <c r="B4" s="11"/>
      <c r="C4" s="8"/>
      <c r="D4" s="8"/>
      <c r="E4" s="8"/>
      <c r="F4" s="8"/>
      <c r="G4" s="8"/>
      <c r="H4" s="8"/>
      <c r="I4" s="8"/>
      <c r="J4" s="8"/>
      <c r="K4" s="8"/>
      <c r="L4" s="8"/>
    </row>
    <row r="5" customFormat="false" ht="15" hidden="false" customHeight="false" outlineLevel="0" collapsed="false">
      <c r="A5" s="8" t="s">
        <v>35</v>
      </c>
      <c r="B5" s="9" t="s">
        <v>36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customFormat="false" ht="15" hidden="false" customHeight="false" outlineLevel="0" collapsed="false">
      <c r="A6" s="8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customFormat="false" ht="15" hidden="false" customHeight="false" outlineLevel="0" collapsed="false">
      <c r="A7" s="8" t="s">
        <v>38</v>
      </c>
      <c r="B7" s="8" t="s">
        <v>39</v>
      </c>
      <c r="C7" s="12" t="n">
        <v>12175</v>
      </c>
      <c r="D7" s="12" t="n">
        <v>12175</v>
      </c>
      <c r="E7" s="8"/>
      <c r="F7" s="8"/>
      <c r="G7" s="13" t="n">
        <v>3043.76</v>
      </c>
      <c r="H7" s="8"/>
      <c r="I7" s="8"/>
      <c r="J7" s="13" t="n">
        <v>3043.76</v>
      </c>
      <c r="K7" s="8"/>
      <c r="L7" s="8"/>
      <c r="M7" s="13" t="n">
        <v>3043.76</v>
      </c>
      <c r="P7" s="13" t="n">
        <v>3043.72</v>
      </c>
      <c r="Q7" s="4" t="n">
        <f aca="false">SUM(E7:P7)</f>
        <v>12175</v>
      </c>
    </row>
    <row r="8" customFormat="false" ht="15" hidden="false" customHeight="false" outlineLevel="0" collapsed="false">
      <c r="A8" s="8" t="s">
        <v>40</v>
      </c>
      <c r="B8" s="8" t="s">
        <v>41</v>
      </c>
      <c r="C8" s="12" t="n">
        <v>2000</v>
      </c>
      <c r="D8" s="12" t="n">
        <v>2000</v>
      </c>
      <c r="E8" s="13" t="n">
        <v>300</v>
      </c>
      <c r="F8" s="13" t="n">
        <v>92.27</v>
      </c>
      <c r="G8" s="13" t="n">
        <v>22.38</v>
      </c>
      <c r="H8" s="8"/>
      <c r="I8" s="13" t="n">
        <v>736.3</v>
      </c>
      <c r="J8" s="8"/>
      <c r="K8" s="8"/>
      <c r="L8" s="8"/>
      <c r="O8" s="2" t="n">
        <v>135.71</v>
      </c>
      <c r="Q8" s="4" t="n">
        <f aca="false">SUM(E8:P8)</f>
        <v>1286.66</v>
      </c>
    </row>
    <row r="9" customFormat="false" ht="15" hidden="false" customHeight="false" outlineLevel="0" collapsed="false">
      <c r="A9" s="8" t="s">
        <v>42</v>
      </c>
      <c r="B9" s="8" t="s">
        <v>43</v>
      </c>
      <c r="C9" s="12" t="n">
        <v>1000</v>
      </c>
      <c r="D9" s="8"/>
      <c r="E9" s="13"/>
      <c r="F9" s="8"/>
      <c r="G9" s="8"/>
      <c r="H9" s="8"/>
      <c r="I9" s="8"/>
      <c r="J9" s="8"/>
      <c r="K9" s="8"/>
      <c r="L9" s="8"/>
      <c r="O9" s="2" t="n">
        <v>0</v>
      </c>
      <c r="Q9" s="4" t="n">
        <f aca="false">SUM(E9:P9)</f>
        <v>0</v>
      </c>
    </row>
    <row r="10" customFormat="false" ht="15" hidden="false" customHeight="false" outlineLevel="0" collapsed="false">
      <c r="A10" s="8" t="s">
        <v>44</v>
      </c>
      <c r="B10" s="8" t="s">
        <v>45</v>
      </c>
      <c r="C10" s="12" t="n">
        <v>14000</v>
      </c>
      <c r="D10" s="12" t="n">
        <v>15500</v>
      </c>
      <c r="E10" s="13" t="n">
        <v>1291.67</v>
      </c>
      <c r="F10" s="13" t="n">
        <v>1291.67</v>
      </c>
      <c r="G10" s="13" t="n">
        <v>1291.67</v>
      </c>
      <c r="H10" s="13" t="n">
        <v>1291.67</v>
      </c>
      <c r="I10" s="13" t="n">
        <v>1291.67</v>
      </c>
      <c r="J10" s="13" t="n">
        <v>1291.67</v>
      </c>
      <c r="K10" s="13" t="n">
        <v>1291.67</v>
      </c>
      <c r="L10" s="13" t="n">
        <v>1291.67</v>
      </c>
      <c r="M10" s="13" t="n">
        <v>1291.67</v>
      </c>
      <c r="N10" s="13" t="n">
        <v>1291.67</v>
      </c>
      <c r="O10" s="2" t="n">
        <v>1291.67</v>
      </c>
      <c r="P10" s="2" t="n">
        <v>1291.63</v>
      </c>
      <c r="Q10" s="4" t="n">
        <f aca="false">SUM(E10:P10)</f>
        <v>15500</v>
      </c>
    </row>
    <row r="11" customFormat="false" ht="15" hidden="false" customHeight="false" outlineLevel="0" collapsed="false">
      <c r="A11" s="8" t="s">
        <v>46</v>
      </c>
      <c r="B11" s="8" t="s">
        <v>47</v>
      </c>
      <c r="C11" s="12" t="n">
        <v>3000</v>
      </c>
      <c r="D11" s="12" t="n">
        <v>3300</v>
      </c>
      <c r="E11" s="13" t="n">
        <v>0</v>
      </c>
      <c r="F11" s="13" t="n">
        <v>0</v>
      </c>
      <c r="G11" s="13" t="n">
        <v>825</v>
      </c>
      <c r="H11" s="8"/>
      <c r="I11" s="8"/>
      <c r="J11" s="13" t="n">
        <v>825</v>
      </c>
      <c r="K11" s="8"/>
      <c r="L11" s="8"/>
      <c r="M11" s="13" t="n">
        <v>825</v>
      </c>
      <c r="P11" s="13" t="n">
        <v>825</v>
      </c>
      <c r="Q11" s="4" t="n">
        <f aca="false">SUM(E11:P11)</f>
        <v>3300</v>
      </c>
    </row>
    <row r="12" customFormat="false" ht="15" hidden="false" customHeight="false" outlineLevel="0" collapsed="false">
      <c r="A12" s="8" t="s">
        <v>48</v>
      </c>
      <c r="B12" s="8" t="s">
        <v>49</v>
      </c>
      <c r="C12" s="12"/>
      <c r="D12" s="12"/>
      <c r="E12" s="13"/>
      <c r="F12" s="8"/>
      <c r="G12" s="13"/>
      <c r="H12" s="13"/>
      <c r="I12" s="8"/>
      <c r="J12" s="8"/>
      <c r="K12" s="8"/>
      <c r="L12" s="8"/>
      <c r="Q12" s="4" t="n">
        <f aca="false">SUM(E12:P12)</f>
        <v>0</v>
      </c>
    </row>
    <row r="13" customFormat="false" ht="15" hidden="false" customHeight="false" outlineLevel="0" collapsed="false">
      <c r="A13" s="8" t="s">
        <v>50</v>
      </c>
      <c r="B13" s="8" t="s">
        <v>51</v>
      </c>
      <c r="C13" s="12" t="n">
        <v>2600</v>
      </c>
      <c r="D13" s="12" t="n">
        <v>2600</v>
      </c>
      <c r="E13" s="13" t="n">
        <v>56.16</v>
      </c>
      <c r="F13" s="13" t="n">
        <v>180</v>
      </c>
      <c r="G13" s="13" t="n">
        <v>249.21</v>
      </c>
      <c r="H13" s="13" t="n">
        <v>251.37</v>
      </c>
      <c r="I13" s="8"/>
      <c r="J13" s="8"/>
      <c r="K13" s="8" t="n">
        <v>111.68</v>
      </c>
      <c r="L13" s="8"/>
      <c r="M13" s="2"/>
      <c r="P13" s="0" t="n">
        <f aca="false">1424.1-848.42</f>
        <v>575.68</v>
      </c>
      <c r="Q13" s="4" t="n">
        <f aca="false">SUM(E13:P13)</f>
        <v>1424.1</v>
      </c>
      <c r="T13" s="0" t="n">
        <f aca="false">3043.75*4</f>
        <v>12175</v>
      </c>
    </row>
    <row r="14" customFormat="false" ht="15" hidden="false" customHeight="false" outlineLevel="0" collapsed="false">
      <c r="A14" s="8" t="s">
        <v>52</v>
      </c>
      <c r="B14" s="8" t="s">
        <v>53</v>
      </c>
      <c r="C14" s="12" t="n">
        <v>10232</v>
      </c>
      <c r="D14" s="12" t="n">
        <v>10232</v>
      </c>
      <c r="E14" s="13" t="n">
        <v>787.08</v>
      </c>
      <c r="F14" s="13" t="n">
        <v>787.08</v>
      </c>
      <c r="G14" s="13" t="n">
        <v>787.08</v>
      </c>
      <c r="H14" s="13" t="n">
        <v>787.08</v>
      </c>
      <c r="I14" s="13" t="n">
        <v>787.08</v>
      </c>
      <c r="J14" s="13" t="n">
        <v>1180.62</v>
      </c>
      <c r="K14" s="13" t="n">
        <v>787.08</v>
      </c>
      <c r="L14" s="13" t="n">
        <f aca="false">393.54+393.54</f>
        <v>787.08</v>
      </c>
      <c r="M14" s="13" t="n">
        <f aca="false">393.54+393.54</f>
        <v>787.08</v>
      </c>
      <c r="N14" s="13" t="n">
        <f aca="false">393.54+393.54</f>
        <v>787.08</v>
      </c>
      <c r="O14" s="2" t="n">
        <v>1180.62</v>
      </c>
      <c r="P14" s="13" t="n">
        <f aca="false">393.54+393.5</f>
        <v>787.04</v>
      </c>
      <c r="Q14" s="4" t="n">
        <f aca="false">SUM(E14:P14)</f>
        <v>10232</v>
      </c>
    </row>
    <row r="15" customFormat="false" ht="15" hidden="false" customHeight="false" outlineLevel="0" collapsed="false">
      <c r="A15" s="8" t="s">
        <v>54</v>
      </c>
      <c r="B15" s="8" t="s">
        <v>55</v>
      </c>
      <c r="C15" s="12" t="n">
        <v>1000</v>
      </c>
      <c r="D15" s="12" t="n">
        <v>1000</v>
      </c>
      <c r="E15" s="13"/>
      <c r="F15" s="13" t="n">
        <v>625</v>
      </c>
      <c r="G15" s="8"/>
      <c r="H15" s="8"/>
      <c r="I15" s="8"/>
      <c r="J15" s="8"/>
      <c r="K15" s="8"/>
      <c r="L15" s="8"/>
      <c r="Q15" s="4" t="n">
        <f aca="false">SUM(E15:P15)</f>
        <v>625</v>
      </c>
    </row>
    <row r="16" customFormat="false" ht="15" hidden="false" customHeight="false" outlineLevel="0" collapsed="false">
      <c r="A16" s="8" t="s">
        <v>56</v>
      </c>
      <c r="B16" s="14" t="s">
        <v>57</v>
      </c>
      <c r="C16" s="12" t="n">
        <v>2000</v>
      </c>
      <c r="D16" s="12" t="n">
        <f aca="false">2000+1050</f>
        <v>3050</v>
      </c>
      <c r="E16" s="13" t="n">
        <v>1050</v>
      </c>
      <c r="F16" s="13" t="n">
        <v>2000</v>
      </c>
      <c r="G16" s="8"/>
      <c r="H16" s="8"/>
      <c r="I16" s="8"/>
      <c r="J16" s="8"/>
      <c r="K16" s="8"/>
      <c r="L16" s="8"/>
      <c r="Q16" s="4" t="n">
        <f aca="false">SUM(E16:P16)</f>
        <v>3050</v>
      </c>
    </row>
    <row r="17" customFormat="false" ht="15" hidden="false" customHeight="false" outlineLevel="0" collapsed="false">
      <c r="A17" s="8" t="s">
        <v>58</v>
      </c>
      <c r="B17" s="8" t="s">
        <v>59</v>
      </c>
      <c r="C17" s="12" t="n">
        <v>3000</v>
      </c>
      <c r="D17" s="12" t="n">
        <v>3000</v>
      </c>
      <c r="E17" s="13" t="n">
        <v>775.58</v>
      </c>
      <c r="F17" s="13" t="n">
        <v>90.09</v>
      </c>
      <c r="G17" s="8"/>
      <c r="H17" s="8"/>
      <c r="I17" s="13" t="n">
        <v>289.01</v>
      </c>
      <c r="J17" s="8"/>
      <c r="K17" s="8" t="n">
        <v>2.26</v>
      </c>
      <c r="L17" s="13" t="n">
        <v>361.15</v>
      </c>
      <c r="M17" s="2" t="n">
        <v>0</v>
      </c>
      <c r="O17" s="2" t="n">
        <v>223.53</v>
      </c>
      <c r="P17" s="2" t="n">
        <f aca="false">2401.69-1741.62</f>
        <v>660.07</v>
      </c>
      <c r="Q17" s="4" t="n">
        <f aca="false">SUM(E17:P17)</f>
        <v>2401.69</v>
      </c>
    </row>
    <row r="18" customFormat="false" ht="15" hidden="false" customHeight="false" outlineLevel="0" collapsed="false">
      <c r="A18" s="8" t="s">
        <v>60</v>
      </c>
      <c r="B18" s="8" t="s">
        <v>61</v>
      </c>
      <c r="C18" s="12" t="n">
        <v>24277</v>
      </c>
      <c r="D18" s="12" t="n">
        <v>24277</v>
      </c>
      <c r="E18" s="13" t="n">
        <v>1867.46</v>
      </c>
      <c r="F18" s="13" t="n">
        <v>1867.46</v>
      </c>
      <c r="G18" s="13" t="n">
        <v>1867.46</v>
      </c>
      <c r="H18" s="13" t="n">
        <v>1867.46</v>
      </c>
      <c r="I18" s="13" t="n">
        <v>1867.46</v>
      </c>
      <c r="J18" s="13" t="n">
        <v>2801.19</v>
      </c>
      <c r="K18" s="13" t="n">
        <v>1867.46</v>
      </c>
      <c r="L18" s="13" t="n">
        <v>1867.46</v>
      </c>
      <c r="M18" s="13" t="n">
        <v>1867.46</v>
      </c>
      <c r="N18" s="13" t="n">
        <v>1867.46</v>
      </c>
      <c r="O18" s="13" t="n">
        <v>2801.19</v>
      </c>
      <c r="P18" s="13" t="n">
        <v>1867.48</v>
      </c>
      <c r="Q18" s="4" t="n">
        <f aca="false">SUM(E18:P18)</f>
        <v>24277</v>
      </c>
    </row>
    <row r="19" customFormat="false" ht="15" hidden="false" customHeight="false" outlineLevel="0" collapsed="false">
      <c r="A19" s="8" t="s">
        <v>62</v>
      </c>
      <c r="B19" s="8"/>
      <c r="C19" s="12"/>
      <c r="D19" s="8"/>
      <c r="E19" s="13"/>
      <c r="F19" s="8"/>
      <c r="G19" s="8"/>
      <c r="H19" s="8"/>
      <c r="I19" s="8"/>
      <c r="J19" s="8"/>
      <c r="K19" s="8"/>
      <c r="L19" s="8"/>
      <c r="Q19" s="4" t="n">
        <f aca="false">SUM(E19:P19)</f>
        <v>0</v>
      </c>
    </row>
    <row r="20" customFormat="false" ht="15" hidden="false" customHeight="false" outlineLevel="0" collapsed="false">
      <c r="A20" s="8" t="s">
        <v>63</v>
      </c>
      <c r="B20" s="8" t="s">
        <v>64</v>
      </c>
      <c r="C20" s="12" t="n">
        <v>5453</v>
      </c>
      <c r="D20" s="12" t="n">
        <v>2700</v>
      </c>
      <c r="E20" s="13" t="n">
        <v>207.7</v>
      </c>
      <c r="F20" s="13" t="n">
        <v>207.7</v>
      </c>
      <c r="G20" s="13" t="n">
        <v>207.7</v>
      </c>
      <c r="H20" s="13" t="n">
        <v>207.7</v>
      </c>
      <c r="I20" s="13" t="n">
        <v>207.7</v>
      </c>
      <c r="J20" s="8" t="n">
        <v>311.55</v>
      </c>
      <c r="K20" s="13" t="n">
        <v>207.7</v>
      </c>
      <c r="L20" s="13" t="n">
        <f aca="false">103.85+103.85</f>
        <v>207.7</v>
      </c>
      <c r="M20" s="13" t="n">
        <f aca="false">103.85+103.85</f>
        <v>207.7</v>
      </c>
      <c r="N20" s="13" t="n">
        <f aca="false">103.85+103.85</f>
        <v>207.7</v>
      </c>
      <c r="O20" s="13" t="n">
        <v>311.55</v>
      </c>
      <c r="P20" s="13" t="n">
        <f aca="false">103.85+103.75</f>
        <v>207.6</v>
      </c>
      <c r="Q20" s="4" t="n">
        <f aca="false">SUM(E20:P20)</f>
        <v>2700</v>
      </c>
    </row>
    <row r="21" customFormat="false" ht="15" hidden="false" customHeight="false" outlineLevel="0" collapsed="false">
      <c r="A21" s="8" t="s">
        <v>65</v>
      </c>
      <c r="B21" s="8" t="s">
        <v>66</v>
      </c>
      <c r="C21" s="12" t="n">
        <v>200</v>
      </c>
      <c r="D21" s="12" t="n">
        <v>200</v>
      </c>
      <c r="E21" s="13"/>
      <c r="F21" s="8"/>
      <c r="G21" s="8"/>
      <c r="H21" s="8"/>
      <c r="I21" s="8"/>
      <c r="J21" s="8"/>
      <c r="K21" s="8"/>
      <c r="L21" s="8"/>
      <c r="Q21" s="4" t="n">
        <f aca="false">SUM(E21:P21)</f>
        <v>0</v>
      </c>
    </row>
    <row r="22" customFormat="false" ht="15" hidden="false" customHeight="false" outlineLevel="0" collapsed="false">
      <c r="A22" s="8" t="s">
        <v>67</v>
      </c>
      <c r="B22" s="8" t="s">
        <v>68</v>
      </c>
      <c r="C22" s="12" t="n">
        <v>24500</v>
      </c>
      <c r="D22" s="12" t="n">
        <v>24500</v>
      </c>
      <c r="E22" s="13" t="n">
        <v>1884.62</v>
      </c>
      <c r="F22" s="13" t="n">
        <v>1884.62</v>
      </c>
      <c r="G22" s="13" t="n">
        <v>1884.62</v>
      </c>
      <c r="H22" s="13" t="n">
        <v>1884.62</v>
      </c>
      <c r="I22" s="13" t="n">
        <v>1884.62</v>
      </c>
      <c r="J22" s="13" t="n">
        <v>2826.93</v>
      </c>
      <c r="K22" s="13" t="n">
        <v>1884.62</v>
      </c>
      <c r="L22" s="13" t="n">
        <f aca="false">942.31+942.31</f>
        <v>1884.62</v>
      </c>
      <c r="M22" s="13" t="n">
        <f aca="false">942.31+942.31</f>
        <v>1884.62</v>
      </c>
      <c r="N22" s="13" t="n">
        <f aca="false">942.31+942.31</f>
        <v>1884.62</v>
      </c>
      <c r="O22" s="13" t="n">
        <v>2826.93</v>
      </c>
      <c r="P22" s="13" t="n">
        <f aca="false">942.31+942.25</f>
        <v>1884.56</v>
      </c>
      <c r="Q22" s="4" t="n">
        <f aca="false">SUM(E22:P22)</f>
        <v>24500</v>
      </c>
    </row>
    <row r="23" customFormat="false" ht="15" hidden="false" customHeight="false" outlineLevel="0" collapsed="false">
      <c r="A23" s="8" t="s">
        <v>69</v>
      </c>
      <c r="B23" s="8" t="s">
        <v>70</v>
      </c>
      <c r="C23" s="12" t="n">
        <v>1736</v>
      </c>
      <c r="D23" s="12" t="n">
        <v>850</v>
      </c>
      <c r="E23" s="13"/>
      <c r="F23" s="8"/>
      <c r="G23" s="8"/>
      <c r="H23" s="8"/>
      <c r="I23" s="8"/>
      <c r="J23" s="8"/>
      <c r="K23" s="8"/>
      <c r="L23" s="8"/>
      <c r="Q23" s="4" t="n">
        <f aca="false">SUM(E23:P23)</f>
        <v>0</v>
      </c>
    </row>
    <row r="24" customFormat="false" ht="15" hidden="false" customHeight="false" outlineLevel="0" collapsed="false">
      <c r="A24" s="8" t="s">
        <v>71</v>
      </c>
      <c r="B24" s="8" t="s">
        <v>72</v>
      </c>
      <c r="C24" s="12"/>
      <c r="D24" s="12"/>
      <c r="E24" s="13"/>
      <c r="F24" s="8"/>
      <c r="G24" s="8"/>
      <c r="H24" s="8"/>
      <c r="I24" s="8"/>
      <c r="J24" s="8"/>
      <c r="K24" s="8"/>
      <c r="L24" s="8"/>
      <c r="Q24" s="4" t="n">
        <f aca="false">SUM(E24:P24)</f>
        <v>0</v>
      </c>
    </row>
    <row r="25" customFormat="false" ht="15" hidden="false" customHeight="false" outlineLevel="0" collapsed="false">
      <c r="A25" s="8" t="s">
        <v>73</v>
      </c>
      <c r="B25" s="8" t="s">
        <v>74</v>
      </c>
      <c r="C25" s="12" t="n">
        <v>5000</v>
      </c>
      <c r="D25" s="12" t="n">
        <v>1000</v>
      </c>
      <c r="E25" s="13"/>
      <c r="F25" s="8"/>
      <c r="G25" s="8"/>
      <c r="H25" s="13" t="n">
        <v>25</v>
      </c>
      <c r="I25" s="8"/>
      <c r="J25" s="8"/>
      <c r="K25" s="13" t="n">
        <v>6.68</v>
      </c>
      <c r="L25" s="13" t="n">
        <f aca="false">6.5+3.03</f>
        <v>9.53</v>
      </c>
      <c r="P25" s="2" t="n">
        <v>-16.21</v>
      </c>
      <c r="Q25" s="4" t="n">
        <f aca="false">SUM(E25:P25)</f>
        <v>25</v>
      </c>
    </row>
    <row r="26" customFormat="false" ht="15" hidden="false" customHeight="false" outlineLevel="0" collapsed="false">
      <c r="A26" s="8" t="s">
        <v>75</v>
      </c>
      <c r="B26" s="8" t="s">
        <v>76</v>
      </c>
      <c r="C26" s="12" t="n">
        <v>2000</v>
      </c>
      <c r="D26" s="12" t="n">
        <v>1000</v>
      </c>
      <c r="E26" s="13" t="s">
        <v>77</v>
      </c>
      <c r="F26" s="13" t="s">
        <v>77</v>
      </c>
      <c r="G26" s="13" t="s">
        <v>77</v>
      </c>
      <c r="H26" s="13" t="s">
        <v>77</v>
      </c>
      <c r="I26" s="13" t="s">
        <v>77</v>
      </c>
      <c r="J26" s="13" t="n">
        <v>7.29</v>
      </c>
      <c r="K26" s="13" t="s">
        <v>77</v>
      </c>
      <c r="L26" s="13" t="n">
        <v>260</v>
      </c>
      <c r="N26" s="2"/>
      <c r="P26" s="0" t="n">
        <v>-267.29</v>
      </c>
      <c r="Q26" s="4" t="n">
        <f aca="false">SUM(E26:P26)</f>
        <v>0</v>
      </c>
    </row>
    <row r="27" customFormat="false" ht="15" hidden="false" customHeight="false" outlineLevel="0" collapsed="false">
      <c r="A27" s="8" t="s">
        <v>78</v>
      </c>
      <c r="B27" s="8" t="s">
        <v>79</v>
      </c>
      <c r="C27" s="12" t="n">
        <v>4000</v>
      </c>
      <c r="D27" s="12" t="n">
        <v>3000</v>
      </c>
      <c r="E27" s="13" t="n">
        <v>1249.81</v>
      </c>
      <c r="F27" s="8"/>
      <c r="G27" s="13" t="n">
        <v>146.94</v>
      </c>
      <c r="H27" s="13" t="n">
        <v>1.63</v>
      </c>
      <c r="I27" s="13" t="n">
        <v>101.97</v>
      </c>
      <c r="J27" s="13" t="n">
        <v>79.58</v>
      </c>
      <c r="K27" s="8"/>
      <c r="L27" s="8"/>
      <c r="M27" s="13"/>
      <c r="N27" s="2" t="n">
        <v>57</v>
      </c>
      <c r="O27" s="2" t="n">
        <v>4.1</v>
      </c>
      <c r="P27" s="2" t="n">
        <v>268.4</v>
      </c>
      <c r="Q27" s="4" t="n">
        <f aca="false">SUM(E27:P27)</f>
        <v>1909.43</v>
      </c>
    </row>
    <row r="28" customFormat="false" ht="15" hidden="false" customHeight="false" outlineLevel="0" collapsed="false">
      <c r="A28" s="8" t="s">
        <v>80</v>
      </c>
      <c r="B28" s="8" t="s">
        <v>81</v>
      </c>
      <c r="C28" s="12" t="n">
        <v>200</v>
      </c>
      <c r="D28" s="12" t="n">
        <v>200</v>
      </c>
      <c r="E28" s="13"/>
      <c r="F28" s="8"/>
      <c r="G28" s="8"/>
      <c r="H28" s="8"/>
      <c r="I28" s="8"/>
      <c r="J28" s="8"/>
      <c r="K28" s="8"/>
      <c r="L28" s="8"/>
      <c r="Q28" s="4" t="n">
        <f aca="false">SUM(E28:P28)</f>
        <v>0</v>
      </c>
    </row>
    <row r="29" customFormat="false" ht="15" hidden="false" customHeight="false" outlineLevel="0" collapsed="false">
      <c r="A29" s="8" t="s">
        <v>82</v>
      </c>
      <c r="B29" s="8" t="s">
        <v>83</v>
      </c>
      <c r="C29" s="12" t="n">
        <v>32078</v>
      </c>
      <c r="D29" s="12" t="n">
        <v>32078</v>
      </c>
      <c r="E29" s="13" t="n">
        <v>2523.7</v>
      </c>
      <c r="F29" s="13" t="n">
        <v>2523.7</v>
      </c>
      <c r="G29" s="13" t="n">
        <v>2523.7</v>
      </c>
      <c r="H29" s="13" t="n">
        <v>2523.7</v>
      </c>
      <c r="I29" s="13" t="n">
        <v>2523.7</v>
      </c>
      <c r="J29" s="13" t="n">
        <v>3785.55</v>
      </c>
      <c r="K29" s="13" t="n">
        <v>2523.7</v>
      </c>
      <c r="L29" s="13" t="n">
        <v>2523.7</v>
      </c>
      <c r="M29" s="13" t="n">
        <v>2523.7</v>
      </c>
      <c r="N29" s="13" t="n">
        <v>2523.7</v>
      </c>
      <c r="O29" s="13" t="n">
        <v>3785.55</v>
      </c>
      <c r="P29" s="13" t="n">
        <f aca="false">2523.7-730.1</f>
        <v>1793.6</v>
      </c>
      <c r="Q29" s="4" t="n">
        <f aca="false">SUM(E29:P29)</f>
        <v>32078</v>
      </c>
    </row>
    <row r="30" customFormat="false" ht="15" hidden="false" customHeight="false" outlineLevel="0" collapsed="false">
      <c r="A30" s="8" t="s">
        <v>84</v>
      </c>
      <c r="B30" s="8" t="s">
        <v>85</v>
      </c>
      <c r="C30" s="12" t="n">
        <v>9000</v>
      </c>
      <c r="D30" s="12" t="n">
        <v>10000</v>
      </c>
      <c r="E30" s="13" t="n">
        <v>700</v>
      </c>
      <c r="F30" s="13" t="n">
        <v>1081.25</v>
      </c>
      <c r="G30" s="13" t="n">
        <v>731.25</v>
      </c>
      <c r="H30" s="13" t="n">
        <v>737.5</v>
      </c>
      <c r="I30" s="13" t="n">
        <v>653.13</v>
      </c>
      <c r="J30" s="13" t="n">
        <v>1012.5</v>
      </c>
      <c r="K30" s="8" t="n">
        <v>593.75</v>
      </c>
      <c r="L30" s="13" t="n">
        <f aca="false">262.5+225</f>
        <v>487.5</v>
      </c>
      <c r="M30" s="13" t="n">
        <v>293.75</v>
      </c>
      <c r="N30" s="13" t="n">
        <v>475</v>
      </c>
      <c r="O30" s="13" t="n">
        <v>556.25</v>
      </c>
      <c r="P30" s="2" t="n">
        <v>675</v>
      </c>
      <c r="Q30" s="4" t="n">
        <f aca="false">SUM(E30:P30)</f>
        <v>7996.88</v>
      </c>
    </row>
    <row r="31" customFormat="false" ht="15" hidden="false" customHeight="false" outlineLevel="0" collapsed="false">
      <c r="A31" s="8" t="s">
        <v>86</v>
      </c>
      <c r="B31" s="8" t="s">
        <v>87</v>
      </c>
      <c r="C31" s="12" t="n">
        <v>2000</v>
      </c>
      <c r="D31" s="12" t="n">
        <v>1000</v>
      </c>
      <c r="E31" s="13"/>
      <c r="F31" s="8"/>
      <c r="G31" s="8"/>
      <c r="H31" s="8"/>
      <c r="I31" s="8"/>
      <c r="J31" s="8"/>
      <c r="K31" s="8"/>
      <c r="L31" s="8"/>
      <c r="Q31" s="4" t="n">
        <f aca="false">SUM(E31:P31)</f>
        <v>0</v>
      </c>
    </row>
    <row r="32" customFormat="false" ht="15" hidden="false" customHeight="false" outlineLevel="0" collapsed="false">
      <c r="A32" s="8" t="s">
        <v>88</v>
      </c>
      <c r="B32" s="8" t="s">
        <v>89</v>
      </c>
      <c r="C32" s="12" t="n">
        <v>7700</v>
      </c>
      <c r="D32" s="12" t="n">
        <v>7700</v>
      </c>
      <c r="E32" s="13" t="n">
        <v>1906.96</v>
      </c>
      <c r="F32" s="13" t="n">
        <v>842.85</v>
      </c>
      <c r="G32" s="13" t="n">
        <v>634.6</v>
      </c>
      <c r="H32" s="13" t="n">
        <v>503.79</v>
      </c>
      <c r="I32" s="13" t="n">
        <v>342.31</v>
      </c>
      <c r="J32" s="13" t="n">
        <v>521.97</v>
      </c>
      <c r="K32" s="8" t="n">
        <v>206.54</v>
      </c>
      <c r="L32" s="13" t="n">
        <v>117.12</v>
      </c>
      <c r="M32" s="13" t="n">
        <v>152</v>
      </c>
      <c r="N32" s="13" t="n">
        <v>180.77</v>
      </c>
      <c r="O32" s="13" t="n">
        <v>256.32</v>
      </c>
      <c r="P32" s="2" t="n">
        <v>708.99</v>
      </c>
      <c r="Q32" s="4" t="n">
        <f aca="false">SUM(E32:P32)</f>
        <v>6374.22</v>
      </c>
    </row>
    <row r="33" customFormat="false" ht="15" hidden="false" customHeight="false" outlineLevel="0" collapsed="false">
      <c r="A33" s="8" t="s">
        <v>90</v>
      </c>
      <c r="B33" s="14" t="s">
        <v>91</v>
      </c>
      <c r="C33" s="12" t="n">
        <v>20000</v>
      </c>
      <c r="D33" s="12" t="n">
        <f aca="false">30000-1050</f>
        <v>28950</v>
      </c>
      <c r="E33" s="13"/>
      <c r="F33" s="8"/>
      <c r="G33" s="13" t="n">
        <v>1662.5</v>
      </c>
      <c r="H33" s="13" t="n">
        <v>4341</v>
      </c>
      <c r="I33" s="13" t="n">
        <v>600</v>
      </c>
      <c r="J33" s="13" t="n">
        <v>800</v>
      </c>
      <c r="K33" s="13" t="n">
        <v>1078</v>
      </c>
      <c r="L33" s="13" t="n">
        <v>0</v>
      </c>
      <c r="M33" s="2" t="n">
        <v>1250</v>
      </c>
      <c r="N33" s="13" t="n">
        <v>2475</v>
      </c>
      <c r="O33" s="13" t="n">
        <v>2200</v>
      </c>
      <c r="P33" s="2" t="n">
        <v>8117.5</v>
      </c>
      <c r="Q33" s="4" t="n">
        <f aca="false">SUM(E33:P33)</f>
        <v>22524</v>
      </c>
    </row>
    <row r="34" customFormat="false" ht="15" hidden="false" customHeight="false" outlineLevel="0" collapsed="false">
      <c r="A34" s="8" t="s">
        <v>92</v>
      </c>
      <c r="B34" s="8" t="s">
        <v>93</v>
      </c>
      <c r="C34" s="12"/>
      <c r="D34" s="12"/>
      <c r="E34" s="13"/>
      <c r="F34" s="8"/>
      <c r="G34" s="8"/>
      <c r="H34" s="8"/>
      <c r="I34" s="8"/>
      <c r="J34" s="8"/>
      <c r="K34" s="8"/>
      <c r="L34" s="8"/>
      <c r="Q34" s="4" t="n">
        <f aca="false">SUM(E34:P34)</f>
        <v>0</v>
      </c>
    </row>
    <row r="35" customFormat="false" ht="15" hidden="false" customHeight="false" outlineLevel="0" collapsed="false">
      <c r="A35" s="8" t="s">
        <v>94</v>
      </c>
      <c r="B35" s="8" t="s">
        <v>89</v>
      </c>
      <c r="C35" s="12" t="n">
        <v>5000</v>
      </c>
      <c r="D35" s="12" t="n">
        <v>1000</v>
      </c>
      <c r="E35" s="13"/>
      <c r="F35" s="8"/>
      <c r="G35" s="8"/>
      <c r="H35" s="8"/>
      <c r="I35" s="8"/>
      <c r="J35" s="8"/>
      <c r="K35" s="8"/>
      <c r="L35" s="8"/>
      <c r="Q35" s="4" t="n">
        <f aca="false">SUM(E35:P35)</f>
        <v>0</v>
      </c>
    </row>
    <row r="36" customFormat="false" ht="15" hidden="false" customHeight="false" outlineLevel="0" collapsed="false">
      <c r="A36" s="8" t="s">
        <v>95</v>
      </c>
      <c r="B36" s="8" t="s">
        <v>96</v>
      </c>
      <c r="C36" s="12" t="n">
        <v>4000</v>
      </c>
      <c r="D36" s="12" t="n">
        <v>4100</v>
      </c>
      <c r="E36" s="13"/>
      <c r="F36" s="8"/>
      <c r="G36" s="8"/>
      <c r="H36" s="8"/>
      <c r="I36" s="8"/>
      <c r="J36" s="8"/>
      <c r="K36" s="8"/>
      <c r="L36" s="8"/>
      <c r="P36" s="2" t="n">
        <v>3828.12</v>
      </c>
      <c r="Q36" s="4" t="n">
        <f aca="false">SUM(E36:P36)</f>
        <v>3828.12</v>
      </c>
    </row>
    <row r="37" customFormat="false" ht="15" hidden="false" customHeight="false" outlineLevel="0" collapsed="false">
      <c r="A37" s="8" t="s">
        <v>97</v>
      </c>
      <c r="B37" s="8" t="s">
        <v>98</v>
      </c>
      <c r="C37" s="12" t="n">
        <v>15000</v>
      </c>
      <c r="D37" s="12" t="n">
        <v>15000</v>
      </c>
      <c r="E37" s="13" t="n">
        <v>1061.62</v>
      </c>
      <c r="F37" s="13" t="n">
        <v>919.49</v>
      </c>
      <c r="G37" s="13" t="n">
        <v>925.92</v>
      </c>
      <c r="H37" s="8"/>
      <c r="I37" s="13" t="n">
        <v>1774.68</v>
      </c>
      <c r="J37" s="13" t="n">
        <v>1080.24</v>
      </c>
      <c r="K37" s="13" t="n">
        <v>803.75</v>
      </c>
      <c r="L37" s="13" t="n">
        <f aca="false">417.95+462.96</f>
        <v>880.91</v>
      </c>
      <c r="M37" s="13" t="n">
        <v>745.88</v>
      </c>
      <c r="N37" s="13" t="n">
        <v>938.78</v>
      </c>
      <c r="O37" s="13" t="n">
        <v>1125.25</v>
      </c>
      <c r="P37" s="2" t="n">
        <v>1105.96</v>
      </c>
      <c r="Q37" s="4" t="n">
        <f aca="false">SUM(E37:P37)</f>
        <v>11362.48</v>
      </c>
    </row>
    <row r="38" customFormat="false" ht="15" hidden="false" customHeight="false" outlineLevel="0" collapsed="false">
      <c r="A38" s="8" t="s">
        <v>99</v>
      </c>
      <c r="B38" s="8" t="s">
        <v>100</v>
      </c>
      <c r="C38" s="12"/>
      <c r="D38" s="12"/>
      <c r="E38" s="13"/>
      <c r="F38" s="8"/>
      <c r="G38" s="8"/>
      <c r="H38" s="13" t="n">
        <v>868.05</v>
      </c>
      <c r="I38" s="13" t="n">
        <v>-868.05</v>
      </c>
      <c r="J38" s="8"/>
      <c r="K38" s="8"/>
      <c r="L38" s="8"/>
      <c r="Q38" s="4" t="n">
        <f aca="false">SUM(E38:P38)</f>
        <v>0</v>
      </c>
    </row>
    <row r="39" customFormat="false" ht="15" hidden="false" customHeight="false" outlineLevel="0" collapsed="false">
      <c r="A39" s="8" t="s">
        <v>101</v>
      </c>
      <c r="B39" s="8" t="s">
        <v>102</v>
      </c>
      <c r="C39" s="12" t="n">
        <v>5000</v>
      </c>
      <c r="D39" s="12" t="n">
        <v>2500</v>
      </c>
      <c r="E39" s="13"/>
      <c r="F39" s="8"/>
      <c r="G39" s="13"/>
      <c r="H39" s="13"/>
      <c r="I39" s="8"/>
      <c r="J39" s="13" t="n">
        <f aca="false">1080.24-1080.24</f>
        <v>0</v>
      </c>
      <c r="K39" s="8"/>
      <c r="L39" s="8"/>
      <c r="N39" s="2" t="n">
        <v>239.99</v>
      </c>
      <c r="Q39" s="4" t="n">
        <f aca="false">SUM(E39:P39)</f>
        <v>239.99</v>
      </c>
    </row>
    <row r="40" customFormat="false" ht="15" hidden="false" customHeight="false" outlineLevel="0" collapsed="false">
      <c r="A40" s="8" t="s">
        <v>103</v>
      </c>
      <c r="B40" s="8" t="s">
        <v>104</v>
      </c>
      <c r="C40" s="12" t="n">
        <v>65000</v>
      </c>
      <c r="D40" s="12" t="n">
        <v>65000</v>
      </c>
      <c r="E40" s="13" t="n">
        <f aca="false">1441.16+26</f>
        <v>1467.16</v>
      </c>
      <c r="F40" s="13" t="n">
        <v>7270.17</v>
      </c>
      <c r="G40" s="13" t="n">
        <v>8002.81</v>
      </c>
      <c r="H40" s="13" t="n">
        <v>3382.02</v>
      </c>
      <c r="I40" s="13" t="n">
        <v>2243.89</v>
      </c>
      <c r="J40" s="13" t="n">
        <f aca="false">1052.01+1080.24</f>
        <v>2132.25</v>
      </c>
      <c r="K40" s="13" t="n">
        <v>949.35</v>
      </c>
      <c r="L40" s="13" t="n">
        <v>1338.6</v>
      </c>
      <c r="M40" s="2" t="n">
        <v>3218.29</v>
      </c>
      <c r="N40" s="13" t="n">
        <v>5039.73</v>
      </c>
      <c r="O40" s="13" t="n">
        <v>2592.88</v>
      </c>
      <c r="P40" s="13" t="n">
        <f aca="false">48635.93-37637.15</f>
        <v>10998.78</v>
      </c>
      <c r="Q40" s="4" t="n">
        <f aca="false">SUM(E40:P40)</f>
        <v>48635.93</v>
      </c>
    </row>
    <row r="41" customFormat="false" ht="15" hidden="false" customHeight="false" outlineLevel="0" collapsed="false">
      <c r="A41" s="8" t="s">
        <v>105</v>
      </c>
      <c r="B41" s="8" t="s">
        <v>106</v>
      </c>
      <c r="C41" s="12" t="n">
        <v>500</v>
      </c>
      <c r="D41" s="12" t="n">
        <v>500</v>
      </c>
      <c r="E41" s="13"/>
      <c r="F41" s="8"/>
      <c r="G41" s="8"/>
      <c r="H41" s="8"/>
      <c r="I41" s="8"/>
      <c r="J41" s="8"/>
      <c r="K41" s="13" t="n">
        <v>85</v>
      </c>
      <c r="L41" s="13" t="n">
        <v>85</v>
      </c>
      <c r="M41" s="2" t="n">
        <v>22.87</v>
      </c>
      <c r="O41" s="0" t="s">
        <v>107</v>
      </c>
      <c r="P41" s="2" t="n">
        <f aca="false">447.87-192.87</f>
        <v>255</v>
      </c>
      <c r="Q41" s="4" t="n">
        <f aca="false">SUM(E41:P41)</f>
        <v>447.87</v>
      </c>
    </row>
    <row r="42" customFormat="false" ht="15" hidden="false" customHeight="false" outlineLevel="0" collapsed="false">
      <c r="A42" s="8" t="s">
        <v>108</v>
      </c>
      <c r="B42" s="8" t="s">
        <v>109</v>
      </c>
      <c r="C42" s="12" t="n">
        <v>12500</v>
      </c>
      <c r="D42" s="12" t="n">
        <v>12500</v>
      </c>
      <c r="E42" s="13" t="n">
        <v>167.35</v>
      </c>
      <c r="F42" s="13" t="n">
        <v>578.42</v>
      </c>
      <c r="G42" s="13" t="n">
        <v>290.61</v>
      </c>
      <c r="H42" s="13" t="n">
        <v>215.46</v>
      </c>
      <c r="I42" s="13" t="n">
        <v>524.25</v>
      </c>
      <c r="J42" s="13" t="n">
        <v>1147.27</v>
      </c>
      <c r="K42" s="13" t="n">
        <v>7193.95</v>
      </c>
      <c r="L42" s="13"/>
      <c r="M42" s="13" t="n">
        <v>6059.55</v>
      </c>
      <c r="N42" s="13" t="n">
        <v>566.09</v>
      </c>
      <c r="O42" s="13" t="n">
        <v>391.76</v>
      </c>
      <c r="P42" s="2" t="n">
        <v>686.17</v>
      </c>
      <c r="Q42" s="4" t="n">
        <f aca="false">SUM(E42:P42)</f>
        <v>17820.88</v>
      </c>
      <c r="S42" s="13"/>
    </row>
    <row r="43" customFormat="false" ht="15" hidden="false" customHeight="false" outlineLevel="0" collapsed="false">
      <c r="A43" s="8" t="s">
        <v>103</v>
      </c>
      <c r="B43" s="8" t="s">
        <v>110</v>
      </c>
      <c r="C43" s="12"/>
      <c r="D43" s="15" t="n">
        <v>6000</v>
      </c>
      <c r="E43" s="13"/>
      <c r="F43" s="8"/>
      <c r="G43" s="8"/>
      <c r="H43" s="8"/>
      <c r="I43" s="8"/>
      <c r="J43" s="8"/>
      <c r="K43" s="8"/>
      <c r="L43" s="8"/>
      <c r="M43" s="13"/>
      <c r="Q43" s="4" t="n">
        <f aca="false">SUM(E43:P43)</f>
        <v>0</v>
      </c>
    </row>
    <row r="44" customFormat="false" ht="15" hidden="false" customHeight="false" outlineLevel="0" collapsed="false">
      <c r="A44" s="8" t="s">
        <v>111</v>
      </c>
      <c r="B44" s="8" t="s">
        <v>112</v>
      </c>
      <c r="C44" s="12" t="n">
        <v>10000</v>
      </c>
      <c r="D44" s="12" t="n">
        <v>10000</v>
      </c>
      <c r="E44" s="13" t="n">
        <v>228.98</v>
      </c>
      <c r="F44" s="13" t="n">
        <v>80.09</v>
      </c>
      <c r="G44" s="13" t="n">
        <v>79.97</v>
      </c>
      <c r="H44" s="13" t="n">
        <v>111.1</v>
      </c>
      <c r="I44" s="13" t="n">
        <v>121.07</v>
      </c>
      <c r="J44" s="13" t="n">
        <v>301.39</v>
      </c>
      <c r="K44" s="13" t="n">
        <v>123.27</v>
      </c>
      <c r="L44" s="13" t="n">
        <v>204.91</v>
      </c>
      <c r="M44" s="13" t="n">
        <v>140.06</v>
      </c>
      <c r="N44" s="2" t="n">
        <v>142.18</v>
      </c>
      <c r="O44" s="13" t="n">
        <v>122.39</v>
      </c>
      <c r="P44" s="2" t="n">
        <v>582.26</v>
      </c>
      <c r="Q44" s="4" t="n">
        <f aca="false">SUM(E44:P44)</f>
        <v>2237.67</v>
      </c>
      <c r="S44" s="2"/>
    </row>
    <row r="45" customFormat="false" ht="15" hidden="false" customHeight="false" outlineLevel="0" collapsed="false">
      <c r="A45" s="8" t="s">
        <v>113</v>
      </c>
      <c r="B45" s="8" t="s">
        <v>114</v>
      </c>
      <c r="C45" s="12" t="n">
        <v>3500</v>
      </c>
      <c r="D45" s="12" t="n">
        <v>3500</v>
      </c>
      <c r="E45" s="13" t="n">
        <f aca="false">488.01-468.99</f>
        <v>19.02</v>
      </c>
      <c r="F45" s="13" t="n">
        <v>468.99</v>
      </c>
      <c r="G45" s="13" t="n">
        <f aca="false">28.98+66.79</f>
        <v>95.77</v>
      </c>
      <c r="H45" s="13" t="n">
        <v>215.05</v>
      </c>
      <c r="I45" s="13" t="n">
        <v>31.47</v>
      </c>
      <c r="J45" s="13" t="n">
        <v>21.09</v>
      </c>
      <c r="K45" s="13" t="n">
        <v>675.29</v>
      </c>
      <c r="L45" s="13" t="n">
        <v>1063.57</v>
      </c>
      <c r="M45" s="13"/>
      <c r="N45" s="13" t="n">
        <v>68.85</v>
      </c>
      <c r="P45" s="2" t="n">
        <v>564.02</v>
      </c>
      <c r="Q45" s="4" t="n">
        <f aca="false">SUM(E45:P45)</f>
        <v>3223.12</v>
      </c>
    </row>
    <row r="46" customFormat="false" ht="15" hidden="false" customHeight="false" outlineLevel="0" collapsed="false">
      <c r="A46" s="8" t="s">
        <v>115</v>
      </c>
      <c r="B46" s="8" t="s">
        <v>109</v>
      </c>
      <c r="C46" s="12" t="n">
        <v>1000</v>
      </c>
      <c r="D46" s="12" t="n">
        <v>1000</v>
      </c>
      <c r="E46" s="13"/>
      <c r="F46" s="8"/>
      <c r="G46" s="8"/>
      <c r="H46" s="8"/>
      <c r="I46" s="8"/>
      <c r="J46" s="8"/>
      <c r="K46" s="8"/>
      <c r="L46" s="8"/>
      <c r="Q46" s="4" t="n">
        <f aca="false">SUM(E46:P46)</f>
        <v>0</v>
      </c>
    </row>
    <row r="47" customFormat="false" ht="15" hidden="false" customHeight="false" outlineLevel="0" collapsed="false">
      <c r="A47" s="8" t="s">
        <v>116</v>
      </c>
      <c r="B47" s="8" t="s">
        <v>117</v>
      </c>
      <c r="C47" s="12" t="n">
        <v>38200</v>
      </c>
      <c r="D47" s="12" t="n">
        <v>38200</v>
      </c>
      <c r="E47" s="13"/>
      <c r="F47" s="8"/>
      <c r="G47" s="8"/>
      <c r="H47" s="13" t="n">
        <v>218.8</v>
      </c>
      <c r="I47" s="8"/>
      <c r="J47" s="8"/>
      <c r="K47" s="8"/>
      <c r="L47" s="13" t="n">
        <v>987</v>
      </c>
      <c r="M47" s="2" t="n">
        <v>39485.05</v>
      </c>
      <c r="Q47" s="4" t="n">
        <f aca="false">SUM(E47:P47)</f>
        <v>40690.85</v>
      </c>
    </row>
    <row r="48" customFormat="false" ht="15" hidden="false" customHeight="false" outlineLevel="0" collapsed="false">
      <c r="A48" s="8" t="s">
        <v>118</v>
      </c>
      <c r="B48" s="8" t="s">
        <v>119</v>
      </c>
      <c r="C48" s="12" t="n">
        <v>1800</v>
      </c>
      <c r="D48" s="12" t="n">
        <v>1800</v>
      </c>
      <c r="E48" s="13"/>
      <c r="F48" s="8"/>
      <c r="G48" s="8"/>
      <c r="H48" s="8"/>
      <c r="I48" s="8"/>
      <c r="J48" s="8"/>
      <c r="K48" s="8"/>
      <c r="L48" s="8"/>
      <c r="Q48" s="4" t="n">
        <f aca="false">SUM(E48:P48)</f>
        <v>0</v>
      </c>
    </row>
    <row r="49" customFormat="false" ht="15" hidden="false" customHeight="false" outlineLevel="0" collapsed="false">
      <c r="A49" s="8" t="s">
        <v>120</v>
      </c>
      <c r="B49" s="8" t="s">
        <v>121</v>
      </c>
      <c r="C49" s="12" t="n">
        <v>1500</v>
      </c>
      <c r="D49" s="12" t="n">
        <v>1500</v>
      </c>
      <c r="E49" s="13" t="n">
        <v>898</v>
      </c>
      <c r="F49" s="13" t="n">
        <v>344</v>
      </c>
      <c r="G49" s="8"/>
      <c r="H49" s="8"/>
      <c r="I49" s="8"/>
      <c r="J49" s="8"/>
      <c r="K49" s="8"/>
      <c r="L49" s="8"/>
      <c r="Q49" s="4" t="n">
        <f aca="false">SUM(E49:P49)</f>
        <v>1242</v>
      </c>
    </row>
    <row r="50" customFormat="false" ht="15" hidden="false" customHeight="false" outlineLevel="0" collapsed="false">
      <c r="A50" s="8" t="s">
        <v>122</v>
      </c>
      <c r="B50" s="8" t="s">
        <v>123</v>
      </c>
      <c r="C50" s="12" t="n">
        <v>2000</v>
      </c>
      <c r="D50" s="12" t="n">
        <v>1000</v>
      </c>
      <c r="E50" s="13"/>
      <c r="F50" s="8"/>
      <c r="G50" s="8"/>
      <c r="H50" s="8"/>
      <c r="I50" s="8"/>
      <c r="J50" s="8"/>
      <c r="K50" s="8"/>
      <c r="L50" s="8"/>
      <c r="Q50" s="4" t="n">
        <f aca="false">SUM(E50:P50)</f>
        <v>0</v>
      </c>
    </row>
    <row r="51" customFormat="false" ht="15" hidden="false" customHeight="false" outlineLevel="0" collapsed="false">
      <c r="A51" s="8" t="s">
        <v>124</v>
      </c>
      <c r="B51" s="8" t="s">
        <v>125</v>
      </c>
      <c r="C51" s="12" t="n">
        <v>400</v>
      </c>
      <c r="D51" s="12" t="n">
        <v>400</v>
      </c>
      <c r="E51" s="13" t="n">
        <v>138.94</v>
      </c>
      <c r="F51" s="8"/>
      <c r="G51" s="8"/>
      <c r="H51" s="8"/>
      <c r="I51" s="8"/>
      <c r="J51" s="8"/>
      <c r="K51" s="8"/>
      <c r="L51" s="8"/>
      <c r="M51" s="2" t="n">
        <v>107.27</v>
      </c>
      <c r="Q51" s="4" t="n">
        <f aca="false">SUM(E51:P51)</f>
        <v>246.21</v>
      </c>
    </row>
    <row r="52" customFormat="false" ht="15" hidden="false" customHeight="false" outlineLevel="0" collapsed="false">
      <c r="A52" s="8" t="s">
        <v>126</v>
      </c>
      <c r="B52" s="14" t="s">
        <v>127</v>
      </c>
      <c r="C52" s="12" t="n">
        <v>15000</v>
      </c>
      <c r="D52" s="12" t="n">
        <f aca="false">15000-15000</f>
        <v>0</v>
      </c>
      <c r="E52" s="13" t="s">
        <v>128</v>
      </c>
      <c r="F52" s="8"/>
      <c r="G52" s="8"/>
      <c r="H52" s="8"/>
      <c r="I52" s="8"/>
      <c r="J52" s="8"/>
      <c r="K52" s="8"/>
      <c r="L52" s="8"/>
      <c r="P52" s="2" t="n">
        <v>15000</v>
      </c>
      <c r="Q52" s="4" t="n">
        <f aca="false">SUM(E52:P52)</f>
        <v>15000</v>
      </c>
    </row>
    <row r="53" customFormat="false" ht="15" hidden="false" customHeight="false" outlineLevel="0" collapsed="false">
      <c r="A53" s="8" t="s">
        <v>129</v>
      </c>
      <c r="B53" s="8" t="s">
        <v>130</v>
      </c>
      <c r="C53" s="12" t="n">
        <v>6000</v>
      </c>
      <c r="D53" s="12" t="n">
        <v>6000</v>
      </c>
      <c r="E53" s="13"/>
      <c r="F53" s="8"/>
      <c r="G53" s="8"/>
      <c r="H53" s="8"/>
      <c r="I53" s="13" t="n">
        <v>959.6</v>
      </c>
      <c r="J53" s="8"/>
      <c r="K53" s="8"/>
      <c r="L53" s="13" t="n">
        <v>899.8</v>
      </c>
      <c r="M53" s="13" t="n">
        <v>968.02</v>
      </c>
      <c r="P53" s="2" t="n">
        <v>137.1</v>
      </c>
      <c r="Q53" s="4" t="n">
        <f aca="false">SUM(E53:P53)</f>
        <v>2964.52</v>
      </c>
    </row>
    <row r="54" customFormat="false" ht="15" hidden="false" customHeight="false" outlineLevel="0" collapsed="false">
      <c r="A54" s="8" t="s">
        <v>131</v>
      </c>
      <c r="B54" s="8" t="s">
        <v>132</v>
      </c>
      <c r="C54" s="12" t="n">
        <v>5532</v>
      </c>
      <c r="D54" s="12" t="n">
        <v>5532</v>
      </c>
      <c r="E54" s="13" t="n">
        <v>461</v>
      </c>
      <c r="F54" s="13" t="n">
        <v>461</v>
      </c>
      <c r="G54" s="13" t="n">
        <v>461</v>
      </c>
      <c r="H54" s="13" t="n">
        <v>461</v>
      </c>
      <c r="I54" s="13" t="n">
        <v>461</v>
      </c>
      <c r="J54" s="13" t="n">
        <v>461</v>
      </c>
      <c r="K54" s="13" t="n">
        <v>461</v>
      </c>
      <c r="L54" s="13" t="n">
        <v>461</v>
      </c>
      <c r="M54" s="13" t="n">
        <v>461</v>
      </c>
      <c r="N54" s="13" t="n">
        <v>461</v>
      </c>
      <c r="O54" s="13" t="n">
        <v>461</v>
      </c>
      <c r="P54" s="2" t="n">
        <v>461</v>
      </c>
      <c r="Q54" s="4" t="n">
        <f aca="false">SUM(E54:P54)</f>
        <v>5532</v>
      </c>
    </row>
    <row r="55" customFormat="false" ht="15" hidden="false" customHeight="false" outlineLevel="0" collapsed="false">
      <c r="A55" s="8" t="s">
        <v>133</v>
      </c>
      <c r="B55" s="8" t="s">
        <v>134</v>
      </c>
      <c r="C55" s="12" t="n">
        <v>500</v>
      </c>
      <c r="D55" s="12" t="n">
        <v>500</v>
      </c>
      <c r="E55" s="2"/>
      <c r="Q55" s="4" t="n">
        <f aca="false">SUM(E55:P55)</f>
        <v>0</v>
      </c>
    </row>
    <row r="56" customFormat="false" ht="15" hidden="false" customHeight="false" outlineLevel="0" collapsed="false">
      <c r="A56" s="8" t="s">
        <v>135</v>
      </c>
      <c r="B56" s="8" t="s">
        <v>136</v>
      </c>
      <c r="C56" s="12" t="n">
        <v>2100</v>
      </c>
      <c r="D56" s="12" t="n">
        <v>2100</v>
      </c>
      <c r="E56" s="2" t="n">
        <v>525</v>
      </c>
      <c r="N56" s="2" t="n">
        <v>1575</v>
      </c>
      <c r="Q56" s="4" t="n">
        <f aca="false">SUM(E56:P56)</f>
        <v>2100</v>
      </c>
    </row>
    <row r="57" customFormat="false" ht="15" hidden="false" customHeight="false" outlineLevel="0" collapsed="false">
      <c r="A57" s="8" t="s">
        <v>137</v>
      </c>
      <c r="B57" s="8" t="s">
        <v>138</v>
      </c>
      <c r="C57" s="12" t="n">
        <v>20400</v>
      </c>
      <c r="D57" s="12" t="n">
        <v>30000</v>
      </c>
      <c r="E57" s="2" t="n">
        <v>885</v>
      </c>
      <c r="F57" s="2" t="n">
        <v>2325</v>
      </c>
      <c r="G57" s="2" t="n">
        <v>2250</v>
      </c>
      <c r="H57" s="2" t="n">
        <v>2355</v>
      </c>
      <c r="I57" s="2" t="n">
        <v>2205</v>
      </c>
      <c r="J57" s="2" t="n">
        <v>2535</v>
      </c>
      <c r="K57" s="2" t="n">
        <v>2460</v>
      </c>
      <c r="L57" s="2" t="n">
        <f aca="false">1905+1505</f>
        <v>3410</v>
      </c>
      <c r="M57" s="2" t="n">
        <v>3740</v>
      </c>
      <c r="N57" s="2" t="n">
        <v>2145</v>
      </c>
      <c r="O57" s="2" t="n">
        <v>3140</v>
      </c>
      <c r="P57" s="2" t="n">
        <v>2385</v>
      </c>
      <c r="Q57" s="4" t="n">
        <f aca="false">SUM(E57:P57)</f>
        <v>29835</v>
      </c>
    </row>
    <row r="58" customFormat="false" ht="15" hidden="false" customHeight="false" outlineLevel="0" collapsed="false">
      <c r="A58" s="8" t="s">
        <v>139</v>
      </c>
      <c r="B58" s="8" t="s">
        <v>140</v>
      </c>
      <c r="C58" s="12" t="n">
        <v>8000</v>
      </c>
      <c r="D58" s="12" t="n">
        <v>8000</v>
      </c>
      <c r="E58" s="2" t="n">
        <v>387.5</v>
      </c>
      <c r="F58" s="2" t="n">
        <v>893.75</v>
      </c>
      <c r="G58" s="2" t="n">
        <v>862.5</v>
      </c>
      <c r="H58" s="2" t="n">
        <v>1000</v>
      </c>
      <c r="I58" s="2" t="n">
        <v>737.5</v>
      </c>
      <c r="J58" s="2" t="n">
        <v>612.5</v>
      </c>
      <c r="K58" s="2" t="n">
        <v>618.75</v>
      </c>
      <c r="L58" s="2" t="n">
        <f aca="false">312.5+318.75</f>
        <v>631.25</v>
      </c>
      <c r="M58" s="2" t="n">
        <v>443.75</v>
      </c>
      <c r="N58" s="2" t="n">
        <v>437.5</v>
      </c>
      <c r="O58" s="2" t="n">
        <v>687.5</v>
      </c>
      <c r="P58" s="2" t="n">
        <v>625</v>
      </c>
      <c r="Q58" s="4" t="n">
        <f aca="false">SUM(E58:P58)</f>
        <v>7937.5</v>
      </c>
    </row>
    <row r="59" customFormat="false" ht="15" hidden="false" customHeight="false" outlineLevel="0" collapsed="false">
      <c r="A59" s="8" t="s">
        <v>141</v>
      </c>
      <c r="B59" s="8" t="s">
        <v>142</v>
      </c>
      <c r="C59" s="16"/>
      <c r="D59" s="16"/>
      <c r="E59" s="2"/>
      <c r="J59" s="2"/>
      <c r="Q59" s="4"/>
    </row>
    <row r="60" customFormat="false" ht="15" hidden="false" customHeight="false" outlineLevel="0" collapsed="false">
      <c r="A60" s="8" t="s">
        <v>143</v>
      </c>
      <c r="B60" s="8" t="s">
        <v>144</v>
      </c>
      <c r="C60" s="12" t="n">
        <v>4000</v>
      </c>
      <c r="D60" s="12" t="n">
        <v>4000</v>
      </c>
      <c r="E60" s="2" t="n">
        <v>2351.87</v>
      </c>
      <c r="F60" s="2"/>
      <c r="G60" s="2" t="n">
        <v>402.61</v>
      </c>
      <c r="H60" s="2" t="n">
        <v>123.23</v>
      </c>
      <c r="I60" s="2" t="n">
        <v>87.73</v>
      </c>
      <c r="J60" s="2" t="n">
        <v>147.73</v>
      </c>
      <c r="K60" s="0" t="n">
        <v>126.69</v>
      </c>
      <c r="L60" s="2" t="n">
        <v>131.58</v>
      </c>
      <c r="M60" s="2" t="n">
        <v>88.53</v>
      </c>
      <c r="N60" s="2" t="n">
        <v>177.29</v>
      </c>
      <c r="P60" s="2" t="n">
        <v>502.87</v>
      </c>
      <c r="Q60" s="4" t="n">
        <f aca="false">SUM(E60:P60)</f>
        <v>4140.13</v>
      </c>
    </row>
    <row r="61" customFormat="false" ht="15" hidden="false" customHeight="false" outlineLevel="0" collapsed="false">
      <c r="A61" s="8" t="s">
        <v>145</v>
      </c>
      <c r="B61" s="8" t="s">
        <v>146</v>
      </c>
      <c r="C61" s="12"/>
      <c r="D61" s="15" t="n">
        <v>6000</v>
      </c>
      <c r="E61" s="2"/>
      <c r="F61" s="2"/>
      <c r="G61" s="2"/>
      <c r="H61" s="2"/>
      <c r="I61" s="2"/>
      <c r="L61" s="2"/>
      <c r="M61" s="2"/>
      <c r="Q61" s="4" t="n">
        <f aca="false">SUM(E61:P61)</f>
        <v>0</v>
      </c>
    </row>
    <row r="62" customFormat="false" ht="15" hidden="false" customHeight="false" outlineLevel="0" collapsed="false">
      <c r="A62" s="8" t="s">
        <v>147</v>
      </c>
      <c r="B62" s="8" t="s">
        <v>148</v>
      </c>
      <c r="C62" s="12" t="n">
        <v>1000</v>
      </c>
      <c r="D62" s="12" t="n">
        <v>500</v>
      </c>
      <c r="E62" s="2"/>
      <c r="P62" s="2" t="n">
        <v>185</v>
      </c>
      <c r="Q62" s="4" t="n">
        <f aca="false">SUM(E62:P62)</f>
        <v>185</v>
      </c>
    </row>
    <row r="63" customFormat="false" ht="15" hidden="false" customHeight="false" outlineLevel="0" collapsed="false">
      <c r="A63" s="8" t="s">
        <v>149</v>
      </c>
      <c r="B63" s="8" t="s">
        <v>150</v>
      </c>
      <c r="C63" s="12" t="n">
        <v>750</v>
      </c>
      <c r="D63" s="12" t="n">
        <v>750</v>
      </c>
      <c r="E63" s="2" t="n">
        <v>57.7</v>
      </c>
      <c r="F63" s="2" t="n">
        <v>57.7</v>
      </c>
      <c r="G63" s="2" t="n">
        <v>57.7</v>
      </c>
      <c r="H63" s="2" t="n">
        <v>57.7</v>
      </c>
      <c r="I63" s="2" t="n">
        <v>57.7</v>
      </c>
      <c r="J63" s="2" t="n">
        <v>86.55</v>
      </c>
      <c r="K63" s="2" t="n">
        <v>57.7</v>
      </c>
      <c r="L63" s="2" t="n">
        <f aca="false">28.85+28.85</f>
        <v>57.7</v>
      </c>
      <c r="M63" s="2" t="n">
        <f aca="false">28.85+28.85</f>
        <v>57.7</v>
      </c>
      <c r="N63" s="2" t="n">
        <f aca="false">28.85+28.85</f>
        <v>57.7</v>
      </c>
      <c r="O63" s="0" t="n">
        <v>86.55</v>
      </c>
      <c r="P63" s="2" t="n">
        <v>57.6</v>
      </c>
      <c r="Q63" s="4" t="n">
        <f aca="false">SUM(E63:P63)</f>
        <v>750</v>
      </c>
    </row>
    <row r="64" customFormat="false" ht="15" hidden="false" customHeight="false" outlineLevel="0" collapsed="false">
      <c r="A64" s="8" t="s">
        <v>151</v>
      </c>
      <c r="B64" s="8" t="s">
        <v>152</v>
      </c>
      <c r="C64" s="12" t="n">
        <v>15223</v>
      </c>
      <c r="D64" s="12" t="n">
        <v>15223</v>
      </c>
      <c r="E64" s="2" t="n">
        <v>1171</v>
      </c>
      <c r="F64" s="2" t="n">
        <v>1171</v>
      </c>
      <c r="G64" s="2" t="n">
        <v>1171</v>
      </c>
      <c r="H64" s="2" t="n">
        <v>1171</v>
      </c>
      <c r="I64" s="2" t="n">
        <v>1171</v>
      </c>
      <c r="J64" s="2" t="n">
        <v>1756.5</v>
      </c>
      <c r="K64" s="2" t="n">
        <v>1171</v>
      </c>
      <c r="L64" s="2" t="n">
        <v>1171</v>
      </c>
      <c r="M64" s="2" t="n">
        <v>1171</v>
      </c>
      <c r="N64" s="2" t="n">
        <v>1171</v>
      </c>
      <c r="O64" s="2" t="n">
        <v>1756.5</v>
      </c>
      <c r="P64" s="2" t="n">
        <v>1171</v>
      </c>
      <c r="Q64" s="4" t="n">
        <f aca="false">SUM(E64:P64)</f>
        <v>15223</v>
      </c>
    </row>
    <row r="65" customFormat="false" ht="15" hidden="false" customHeight="false" outlineLevel="0" collapsed="false">
      <c r="A65" s="8" t="s">
        <v>153</v>
      </c>
      <c r="B65" s="8" t="s">
        <v>154</v>
      </c>
      <c r="C65" s="12" t="n">
        <v>10150</v>
      </c>
      <c r="D65" s="12" t="n">
        <v>10150</v>
      </c>
      <c r="E65" s="2"/>
      <c r="G65" s="2" t="n">
        <v>358.68</v>
      </c>
      <c r="H65" s="2" t="n">
        <v>1487.64</v>
      </c>
      <c r="I65" s="2" t="n">
        <v>1622.88</v>
      </c>
      <c r="J65" s="2" t="n">
        <v>1822.8</v>
      </c>
      <c r="K65" s="2" t="n">
        <v>626.22</v>
      </c>
      <c r="L65" s="2" t="n">
        <v>217.56</v>
      </c>
      <c r="Q65" s="4" t="n">
        <f aca="false">SUM(E65:P65)</f>
        <v>6135.78</v>
      </c>
    </row>
    <row r="66" customFormat="false" ht="15" hidden="false" customHeight="false" outlineLevel="0" collapsed="false">
      <c r="A66" s="8" t="s">
        <v>155</v>
      </c>
      <c r="B66" s="8" t="s">
        <v>156</v>
      </c>
      <c r="C66" s="12" t="n">
        <v>4500</v>
      </c>
      <c r="D66" s="12" t="n">
        <v>6500</v>
      </c>
      <c r="E66" s="2"/>
      <c r="G66" s="2" t="n">
        <v>1731.59</v>
      </c>
      <c r="H66" s="2" t="n">
        <v>199.77</v>
      </c>
      <c r="I66" s="2" t="n">
        <v>275.7</v>
      </c>
      <c r="J66" s="2" t="n">
        <v>259.82</v>
      </c>
      <c r="L66" s="2" t="n">
        <v>0</v>
      </c>
      <c r="P66" s="2" t="n">
        <v>2654.59</v>
      </c>
      <c r="Q66" s="4" t="n">
        <f aca="false">SUM(E66:P66)</f>
        <v>5121.47</v>
      </c>
    </row>
    <row r="67" customFormat="false" ht="15" hidden="false" customHeight="false" outlineLevel="0" collapsed="false">
      <c r="A67" s="8" t="s">
        <v>157</v>
      </c>
      <c r="B67" s="8" t="s">
        <v>158</v>
      </c>
      <c r="C67" s="12" t="n">
        <v>1000</v>
      </c>
      <c r="D67" s="12" t="n">
        <v>0</v>
      </c>
      <c r="E67" s="2"/>
      <c r="Q67" s="4" t="n">
        <f aca="false">SUM(E67:P67)</f>
        <v>0</v>
      </c>
    </row>
    <row r="68" customFormat="false" ht="15" hidden="false" customHeight="false" outlineLevel="0" collapsed="false">
      <c r="A68" s="8" t="s">
        <v>159</v>
      </c>
      <c r="B68" s="8" t="s">
        <v>160</v>
      </c>
      <c r="C68" s="12" t="n">
        <v>44008</v>
      </c>
      <c r="D68" s="12" t="n">
        <v>44008</v>
      </c>
      <c r="E68" s="2" t="n">
        <v>3545.32</v>
      </c>
      <c r="F68" s="2" t="n">
        <v>3545.32</v>
      </c>
      <c r="G68" s="2" t="n">
        <v>3545.32</v>
      </c>
      <c r="H68" s="2" t="n">
        <v>3545.32</v>
      </c>
      <c r="I68" s="2" t="n">
        <v>3545.32</v>
      </c>
      <c r="J68" s="2" t="n">
        <v>5317.98</v>
      </c>
      <c r="K68" s="2" t="n">
        <v>2344.72</v>
      </c>
      <c r="L68" s="2" t="n">
        <v>3385.24</v>
      </c>
      <c r="M68" s="2" t="n">
        <v>3385.24</v>
      </c>
      <c r="N68" s="2" t="n">
        <v>3385.24</v>
      </c>
      <c r="O68" s="2" t="n">
        <v>5077.86</v>
      </c>
      <c r="P68" s="2" t="n">
        <v>3385.12</v>
      </c>
      <c r="Q68" s="4" t="n">
        <f aca="false">SUM(E68:P68)</f>
        <v>44008</v>
      </c>
    </row>
    <row r="69" customFormat="false" ht="15" hidden="false" customHeight="false" outlineLevel="0" collapsed="false">
      <c r="A69" s="8" t="s">
        <v>161</v>
      </c>
      <c r="B69" s="8" t="s">
        <v>162</v>
      </c>
      <c r="C69" s="12" t="n">
        <v>2081</v>
      </c>
      <c r="D69" s="12" t="n">
        <v>2081</v>
      </c>
      <c r="E69" s="2"/>
      <c r="J69" s="2" t="n">
        <v>1040.5</v>
      </c>
      <c r="O69" s="2" t="n">
        <v>1040.5</v>
      </c>
      <c r="Q69" s="4" t="n">
        <f aca="false">SUM(E69:P69)</f>
        <v>2081</v>
      </c>
    </row>
    <row r="70" customFormat="false" ht="15" hidden="false" customHeight="false" outlineLevel="0" collapsed="false">
      <c r="A70" s="8" t="s">
        <v>163</v>
      </c>
      <c r="B70" s="8" t="s">
        <v>164</v>
      </c>
      <c r="C70" s="12" t="n">
        <v>2081</v>
      </c>
      <c r="D70" s="12" t="n">
        <v>2081</v>
      </c>
      <c r="E70" s="2"/>
      <c r="K70" s="2" t="n">
        <v>1200.6</v>
      </c>
      <c r="L70" s="2" t="n">
        <f aca="false">80.04+80.04</f>
        <v>160.08</v>
      </c>
      <c r="M70" s="2" t="n">
        <f aca="false">80.04+80.04</f>
        <v>160.08</v>
      </c>
      <c r="N70" s="2" t="n">
        <f aca="false">80.04+80.04</f>
        <v>160.08</v>
      </c>
      <c r="O70" s="2" t="n">
        <v>240.12</v>
      </c>
      <c r="P70" s="2" t="n">
        <f aca="false">2081-1920.96</f>
        <v>160.04</v>
      </c>
      <c r="Q70" s="4" t="n">
        <f aca="false">SUM(E70:P70)</f>
        <v>2081</v>
      </c>
    </row>
    <row r="71" customFormat="false" ht="15" hidden="false" customHeight="false" outlineLevel="0" collapsed="false">
      <c r="A71" s="8" t="s">
        <v>165</v>
      </c>
      <c r="B71" s="8" t="s">
        <v>87</v>
      </c>
      <c r="C71" s="16"/>
      <c r="D71" s="16"/>
      <c r="E71" s="2"/>
      <c r="Q71" s="4" t="n">
        <f aca="false">SUM(E71:P71)</f>
        <v>0</v>
      </c>
    </row>
    <row r="72" customFormat="false" ht="15" hidden="false" customHeight="false" outlineLevel="0" collapsed="false">
      <c r="A72" s="8" t="s">
        <v>166</v>
      </c>
      <c r="B72" s="8" t="s">
        <v>167</v>
      </c>
      <c r="C72" s="12" t="n">
        <v>600</v>
      </c>
      <c r="D72" s="12" t="n">
        <v>1000</v>
      </c>
      <c r="E72" s="2" t="n">
        <v>372.82</v>
      </c>
      <c r="F72" s="2" t="n">
        <v>35</v>
      </c>
      <c r="G72" s="2" t="n">
        <v>46.39</v>
      </c>
      <c r="H72" s="2" t="n">
        <v>25.98</v>
      </c>
      <c r="I72" s="2" t="n">
        <v>9.99</v>
      </c>
      <c r="J72" s="2" t="n">
        <v>266.88</v>
      </c>
      <c r="O72" s="2" t="n">
        <v>3.31</v>
      </c>
      <c r="P72" s="2" t="n">
        <f aca="false">-760.37+531.34</f>
        <v>-229.03</v>
      </c>
      <c r="Q72" s="4" t="n">
        <f aca="false">SUM(E72:P72)</f>
        <v>531.34</v>
      </c>
    </row>
    <row r="73" customFormat="false" ht="15" hidden="false" customHeight="false" outlineLevel="0" collapsed="false">
      <c r="A73" s="8" t="s">
        <v>168</v>
      </c>
      <c r="B73" s="14" t="s">
        <v>169</v>
      </c>
      <c r="C73" s="12" t="n">
        <v>25000</v>
      </c>
      <c r="D73" s="12" t="n">
        <f aca="false">25000+15000</f>
        <v>40000</v>
      </c>
      <c r="E73" s="2" t="n">
        <v>455.44</v>
      </c>
      <c r="F73" s="2" t="n">
        <v>2711.11</v>
      </c>
      <c r="G73" s="2" t="n">
        <v>1003.43</v>
      </c>
      <c r="H73" s="2" t="n">
        <v>1679.3</v>
      </c>
      <c r="I73" s="2" t="n">
        <v>1782.55</v>
      </c>
      <c r="J73" s="2" t="n">
        <f aca="false">34153.41-15151.33</f>
        <v>19002.08</v>
      </c>
      <c r="K73" s="2" t="n">
        <v>6952.13</v>
      </c>
      <c r="L73" s="2" t="n">
        <v>567.37</v>
      </c>
      <c r="M73" s="2" t="n">
        <v>6369.47</v>
      </c>
      <c r="N73" s="2" t="n">
        <v>394.13</v>
      </c>
      <c r="O73" s="2" t="n">
        <v>501.19</v>
      </c>
      <c r="P73" s="2" t="n">
        <v>4738.08</v>
      </c>
      <c r="Q73" s="4" t="n">
        <f aca="false">SUM(E73:P73)</f>
        <v>46156.28</v>
      </c>
      <c r="S73" s="2"/>
    </row>
    <row r="74" customFormat="false" ht="15" hidden="false" customHeight="false" outlineLevel="0" collapsed="false">
      <c r="A74" s="8" t="s">
        <v>170</v>
      </c>
      <c r="B74" s="8" t="s">
        <v>171</v>
      </c>
      <c r="C74" s="12" t="n">
        <v>45000</v>
      </c>
      <c r="D74" s="12" t="n">
        <v>45000</v>
      </c>
      <c r="E74" s="2" t="n">
        <v>7101.08</v>
      </c>
      <c r="G74" s="2" t="n">
        <v>3093.87</v>
      </c>
      <c r="H74" s="2" t="n">
        <v>2920.6</v>
      </c>
      <c r="I74" s="2" t="n">
        <v>2809.2</v>
      </c>
      <c r="J74" s="2" t="n">
        <v>2558.28</v>
      </c>
      <c r="K74" s="2" t="n">
        <v>2393.41</v>
      </c>
      <c r="L74" s="2" t="n">
        <v>4810.44</v>
      </c>
      <c r="M74" s="2" t="n">
        <v>0</v>
      </c>
      <c r="N74" s="2" t="n">
        <v>5645.5</v>
      </c>
      <c r="O74" s="2" t="n">
        <v>0</v>
      </c>
      <c r="P74" s="2" t="n">
        <v>3226.36</v>
      </c>
      <c r="Q74" s="4" t="n">
        <f aca="false">SUM(E74:P74)</f>
        <v>34558.74</v>
      </c>
    </row>
    <row r="75" customFormat="false" ht="15" hidden="false" customHeight="false" outlineLevel="0" collapsed="false">
      <c r="A75" s="8" t="s">
        <v>172</v>
      </c>
      <c r="B75" s="8" t="s">
        <v>109</v>
      </c>
      <c r="C75" s="12" t="n">
        <v>2000</v>
      </c>
      <c r="D75" s="12" t="n">
        <v>2000</v>
      </c>
      <c r="E75" s="2"/>
      <c r="F75" s="2" t="n">
        <v>239.4</v>
      </c>
      <c r="G75" s="2" t="n">
        <v>6.2</v>
      </c>
      <c r="I75" s="2"/>
      <c r="J75" s="2"/>
      <c r="O75" s="2" t="n">
        <v>10</v>
      </c>
      <c r="P75" s="2"/>
      <c r="Q75" s="4" t="n">
        <f aca="false">SUM(E75:P75)</f>
        <v>255.6</v>
      </c>
    </row>
    <row r="76" customFormat="false" ht="15" hidden="false" customHeight="false" outlineLevel="0" collapsed="false">
      <c r="A76" s="8" t="s">
        <v>173</v>
      </c>
      <c r="B76" s="8" t="s">
        <v>174</v>
      </c>
      <c r="C76" s="12" t="n">
        <v>2000</v>
      </c>
      <c r="D76" s="12" t="n">
        <v>2000</v>
      </c>
      <c r="E76" s="2"/>
      <c r="F76" s="2"/>
      <c r="I76" s="2" t="n">
        <v>105</v>
      </c>
      <c r="J76" s="2" t="n">
        <v>704</v>
      </c>
      <c r="K76" s="2" t="n">
        <v>160</v>
      </c>
      <c r="L76" s="2" t="n">
        <f aca="false">105</f>
        <v>105</v>
      </c>
      <c r="M76" s="2" t="n">
        <f aca="false">105</f>
        <v>105</v>
      </c>
      <c r="Q76" s="4" t="n">
        <f aca="false">SUM(E76:P76)</f>
        <v>1179</v>
      </c>
    </row>
    <row r="77" customFormat="false" ht="15" hidden="false" customHeight="false" outlineLevel="0" collapsed="false">
      <c r="A77" s="8" t="s">
        <v>175</v>
      </c>
      <c r="B77" s="8" t="s">
        <v>176</v>
      </c>
      <c r="C77" s="12" t="n">
        <v>750</v>
      </c>
      <c r="D77" s="12" t="n">
        <v>750</v>
      </c>
      <c r="E77" s="2"/>
      <c r="G77" s="2" t="n">
        <v>35</v>
      </c>
      <c r="I77" s="2" t="n">
        <f aca="false">166-35</f>
        <v>131</v>
      </c>
      <c r="Q77" s="4" t="n">
        <f aca="false">SUM(E77:P77)</f>
        <v>166</v>
      </c>
    </row>
    <row r="78" customFormat="false" ht="15" hidden="false" customHeight="false" outlineLevel="0" collapsed="false">
      <c r="A78" s="8" t="s">
        <v>177</v>
      </c>
      <c r="B78" s="8" t="s">
        <v>178</v>
      </c>
      <c r="C78" s="12" t="n">
        <v>500</v>
      </c>
      <c r="D78" s="12" t="n">
        <v>500</v>
      </c>
      <c r="E78" s="2"/>
      <c r="Q78" s="4" t="n">
        <f aca="false">SUM(E78:P78)</f>
        <v>0</v>
      </c>
    </row>
    <row r="79" customFormat="false" ht="15" hidden="false" customHeight="false" outlineLevel="0" collapsed="false">
      <c r="A79" s="8" t="s">
        <v>179</v>
      </c>
      <c r="B79" s="8" t="s">
        <v>180</v>
      </c>
      <c r="C79" s="16"/>
      <c r="E79" s="2"/>
      <c r="Q79" s="4" t="n">
        <f aca="false">SUM(E79:P79)</f>
        <v>0</v>
      </c>
    </row>
    <row r="80" customFormat="false" ht="15" hidden="false" customHeight="false" outlineLevel="0" collapsed="false">
      <c r="A80" s="8" t="s">
        <v>181</v>
      </c>
      <c r="B80" s="8" t="s">
        <v>182</v>
      </c>
      <c r="C80" s="12" t="n">
        <v>3500</v>
      </c>
      <c r="D80" s="12" t="n">
        <v>3500</v>
      </c>
      <c r="E80" s="2"/>
      <c r="J80" s="2" t="n">
        <v>985</v>
      </c>
      <c r="L80" s="2" t="n">
        <v>970</v>
      </c>
      <c r="M80" s="2" t="n">
        <v>0</v>
      </c>
      <c r="N80" s="2" t="n">
        <v>350</v>
      </c>
      <c r="P80" s="2" t="n">
        <f aca="false">3500-2305</f>
        <v>1195</v>
      </c>
      <c r="Q80" s="4" t="n">
        <f aca="false">SUM(E80:P80)</f>
        <v>3500</v>
      </c>
    </row>
    <row r="81" customFormat="false" ht="15" hidden="false" customHeight="false" outlineLevel="0" collapsed="false">
      <c r="A81" s="8" t="s">
        <v>183</v>
      </c>
      <c r="B81" s="8" t="s">
        <v>184</v>
      </c>
      <c r="C81" s="12"/>
      <c r="D81" s="12"/>
      <c r="E81" s="2"/>
      <c r="J81" s="2"/>
      <c r="L81" s="2"/>
      <c r="M81" s="2"/>
      <c r="N81" s="2"/>
      <c r="P81" s="2" t="n">
        <v>4500</v>
      </c>
      <c r="Q81" s="4" t="n">
        <v>4500</v>
      </c>
    </row>
    <row r="82" customFormat="false" ht="15" hidden="false" customHeight="false" outlineLevel="0" collapsed="false">
      <c r="A82" s="8" t="s">
        <v>185</v>
      </c>
      <c r="B82" s="8" t="s">
        <v>186</v>
      </c>
      <c r="C82" s="12" t="n">
        <v>100000</v>
      </c>
      <c r="D82" s="12" t="n">
        <v>100000</v>
      </c>
      <c r="E82" s="2" t="n">
        <v>3182.7</v>
      </c>
      <c r="F82" s="2" t="n">
        <v>3182.7</v>
      </c>
      <c r="G82" s="2" t="n">
        <v>3182.7</v>
      </c>
      <c r="H82" s="2" t="n">
        <v>4653.26</v>
      </c>
      <c r="I82" s="2" t="n">
        <v>7649.86</v>
      </c>
      <c r="J82" s="2" t="n">
        <v>15648.93</v>
      </c>
      <c r="K82" s="2" t="n">
        <v>9768.06</v>
      </c>
      <c r="L82" s="2" t="n">
        <f aca="false">4536.23+5129.22</f>
        <v>9665.45</v>
      </c>
      <c r="M82" s="2" t="n">
        <v>9583.54</v>
      </c>
      <c r="N82" s="2" t="n">
        <v>8643.96</v>
      </c>
      <c r="O82" s="2" t="n">
        <v>5834.55</v>
      </c>
      <c r="P82" s="2" t="n">
        <f aca="false">84178.41-80995.71</f>
        <v>3182.7</v>
      </c>
      <c r="Q82" s="4" t="n">
        <f aca="false">SUM(E82:P82)</f>
        <v>84178.41</v>
      </c>
    </row>
    <row r="83" customFormat="false" ht="15" hidden="false" customHeight="false" outlineLevel="0" collapsed="false">
      <c r="A83" s="8" t="s">
        <v>187</v>
      </c>
      <c r="B83" s="8" t="s">
        <v>188</v>
      </c>
      <c r="C83" s="12" t="n">
        <v>11000</v>
      </c>
      <c r="D83" s="12" t="n">
        <v>10000</v>
      </c>
      <c r="E83" s="2"/>
      <c r="Q83" s="4" t="n">
        <f aca="false">SUM(E83:P83)</f>
        <v>0</v>
      </c>
    </row>
    <row r="84" customFormat="false" ht="15" hidden="false" customHeight="false" outlineLevel="0" collapsed="false">
      <c r="A84" s="8" t="s">
        <v>189</v>
      </c>
      <c r="B84" s="8" t="s">
        <v>190</v>
      </c>
      <c r="C84" s="12" t="n">
        <v>28000</v>
      </c>
      <c r="D84" s="12" t="n">
        <v>28000</v>
      </c>
      <c r="E84" s="2"/>
      <c r="G84" s="2" t="n">
        <v>1892.4</v>
      </c>
      <c r="H84" s="2" t="n">
        <v>5633.55</v>
      </c>
      <c r="I84" s="2" t="n">
        <v>2256.39</v>
      </c>
      <c r="J84" s="2" t="n">
        <v>2217.23</v>
      </c>
      <c r="K84" s="2" t="n">
        <v>849.98</v>
      </c>
      <c r="L84" s="2" t="n">
        <v>889.86</v>
      </c>
      <c r="M84" s="2" t="n">
        <v>1108.92</v>
      </c>
      <c r="N84" s="2" t="n">
        <v>3672.02</v>
      </c>
      <c r="O84" s="2" t="n">
        <v>25</v>
      </c>
      <c r="P84" s="2" t="n">
        <f aca="false">-1654.92</f>
        <v>-1654.92</v>
      </c>
      <c r="Q84" s="4" t="n">
        <f aca="false">SUM(E84:P84)</f>
        <v>16890.43</v>
      </c>
    </row>
    <row r="85" customFormat="false" ht="15" hidden="false" customHeight="false" outlineLevel="0" collapsed="false">
      <c r="A85" s="8" t="s">
        <v>191</v>
      </c>
      <c r="B85" s="8" t="s">
        <v>192</v>
      </c>
      <c r="C85" s="12" t="n">
        <v>1250</v>
      </c>
      <c r="D85" s="12" t="n">
        <v>1040</v>
      </c>
      <c r="E85" s="2"/>
      <c r="J85" s="2" t="n">
        <v>270</v>
      </c>
      <c r="K85" s="2" t="n">
        <v>270</v>
      </c>
      <c r="L85" s="2" t="n">
        <f aca="false">270</f>
        <v>270</v>
      </c>
      <c r="M85" s="2"/>
      <c r="N85" s="2" t="n">
        <f aca="false">270</f>
        <v>270</v>
      </c>
      <c r="Q85" s="4" t="n">
        <f aca="false">SUM(E85:P85)</f>
        <v>1080</v>
      </c>
    </row>
    <row r="86" customFormat="false" ht="15" hidden="false" customHeight="false" outlineLevel="0" collapsed="false">
      <c r="A86" s="8" t="s">
        <v>193</v>
      </c>
      <c r="B86" s="14" t="s">
        <v>194</v>
      </c>
      <c r="C86" s="12" t="n">
        <v>20445</v>
      </c>
      <c r="D86" s="12" t="n">
        <v>20445</v>
      </c>
      <c r="E86" s="2"/>
      <c r="K86" s="2" t="n">
        <v>5226.67</v>
      </c>
      <c r="L86" s="2" t="n">
        <f aca="false">5033.43+5245.29</f>
        <v>10278.72</v>
      </c>
      <c r="Q86" s="4" t="n">
        <f aca="false">SUM(E86:P86)</f>
        <v>15505.39</v>
      </c>
    </row>
    <row r="87" customFormat="false" ht="15" hidden="false" customHeight="false" outlineLevel="0" collapsed="false">
      <c r="A87" s="8" t="s">
        <v>195</v>
      </c>
      <c r="B87" s="8" t="s">
        <v>196</v>
      </c>
      <c r="C87" s="12" t="n">
        <v>0</v>
      </c>
      <c r="D87" s="12" t="n">
        <v>0</v>
      </c>
      <c r="E87" s="2"/>
      <c r="F87" s="2" t="n">
        <v>0</v>
      </c>
      <c r="J87" s="2" t="n">
        <v>0</v>
      </c>
      <c r="K87" s="2" t="n">
        <v>0</v>
      </c>
      <c r="Q87" s="4" t="n">
        <f aca="false">SUM(E87:P87)</f>
        <v>0</v>
      </c>
    </row>
    <row r="88" customFormat="false" ht="15" hidden="false" customHeight="false" outlineLevel="0" collapsed="false">
      <c r="A88" s="8" t="s">
        <v>197</v>
      </c>
      <c r="B88" s="8" t="s">
        <v>198</v>
      </c>
      <c r="C88" s="12" t="n">
        <v>3600</v>
      </c>
      <c r="D88" s="12" t="n">
        <f aca="false">3600+1132</f>
        <v>4732</v>
      </c>
      <c r="E88" s="12"/>
      <c r="F88" s="2" t="n">
        <v>600</v>
      </c>
      <c r="J88" s="2" t="n">
        <v>758.88</v>
      </c>
      <c r="K88" s="2" t="n">
        <v>472.6</v>
      </c>
      <c r="L88" s="2" t="n">
        <v>1758.17</v>
      </c>
      <c r="M88" s="2"/>
      <c r="N88" s="0" t="s">
        <v>107</v>
      </c>
      <c r="O88" s="0" t="n">
        <v>484.53</v>
      </c>
      <c r="P88" s="2" t="n">
        <f aca="false">4729.18-4074.18</f>
        <v>655</v>
      </c>
      <c r="Q88" s="4" t="n">
        <f aca="false">SUM(E88:P88)</f>
        <v>4729.18</v>
      </c>
    </row>
    <row r="89" customFormat="false" ht="15" hidden="false" customHeight="false" outlineLevel="0" collapsed="false">
      <c r="A89" s="8" t="s">
        <v>199</v>
      </c>
      <c r="B89" s="8" t="s">
        <v>200</v>
      </c>
      <c r="C89" s="12" t="n">
        <v>2500</v>
      </c>
      <c r="D89" s="12" t="n">
        <v>0</v>
      </c>
      <c r="E89" s="2"/>
      <c r="Q89" s="4" t="n">
        <f aca="false">SUM(E89:P89)</f>
        <v>0</v>
      </c>
    </row>
    <row r="90" customFormat="false" ht="15" hidden="false" customHeight="false" outlineLevel="0" collapsed="false">
      <c r="A90" s="8" t="s">
        <v>201</v>
      </c>
      <c r="B90" s="8" t="s">
        <v>202</v>
      </c>
      <c r="C90" s="12" t="n">
        <v>4000</v>
      </c>
      <c r="D90" s="12" t="n">
        <v>2000</v>
      </c>
      <c r="E90" s="2"/>
      <c r="G90" s="2" t="n">
        <v>2000</v>
      </c>
      <c r="P90" s="2" t="n">
        <v>0</v>
      </c>
      <c r="Q90" s="4" t="n">
        <f aca="false">SUM(E90:P90)</f>
        <v>2000</v>
      </c>
    </row>
    <row r="91" customFormat="false" ht="15" hidden="false" customHeight="false" outlineLevel="0" collapsed="false">
      <c r="A91" s="8" t="s">
        <v>203</v>
      </c>
      <c r="B91" s="8" t="s">
        <v>204</v>
      </c>
      <c r="C91" s="12" t="n">
        <v>633</v>
      </c>
      <c r="D91" s="12" t="n">
        <v>633</v>
      </c>
      <c r="E91" s="2"/>
      <c r="O91" s="2" t="n">
        <v>633</v>
      </c>
      <c r="Q91" s="4" t="n">
        <f aca="false">SUM(E91:P91)</f>
        <v>633</v>
      </c>
    </row>
    <row r="92" customFormat="false" ht="15" hidden="false" customHeight="false" outlineLevel="0" collapsed="false">
      <c r="A92" s="8" t="s">
        <v>205</v>
      </c>
      <c r="B92" s="8" t="s">
        <v>89</v>
      </c>
      <c r="C92" s="12" t="n">
        <v>300</v>
      </c>
      <c r="D92" s="12" t="n">
        <v>150</v>
      </c>
      <c r="E92" s="2"/>
      <c r="Q92" s="4" t="n">
        <f aca="false">SUM(E92:P92)</f>
        <v>0</v>
      </c>
    </row>
    <row r="93" customFormat="false" ht="15" hidden="false" customHeight="false" outlineLevel="0" collapsed="false">
      <c r="A93" s="8" t="s">
        <v>206</v>
      </c>
      <c r="B93" s="8" t="s">
        <v>207</v>
      </c>
      <c r="C93" s="12" t="n">
        <v>2000</v>
      </c>
      <c r="D93" s="12" t="n">
        <v>2000</v>
      </c>
      <c r="E93" s="2"/>
      <c r="P93" s="2" t="n">
        <v>393</v>
      </c>
      <c r="Q93" s="4" t="n">
        <f aca="false">SUM(E93:P93)</f>
        <v>393</v>
      </c>
    </row>
    <row r="94" customFormat="false" ht="15" hidden="false" customHeight="false" outlineLevel="0" collapsed="false">
      <c r="A94" s="8" t="s">
        <v>208</v>
      </c>
      <c r="B94" s="8" t="s">
        <v>209</v>
      </c>
      <c r="C94" s="12" t="n">
        <v>500</v>
      </c>
      <c r="D94" s="12" t="n">
        <v>500</v>
      </c>
      <c r="E94" s="2"/>
      <c r="Q94" s="4" t="n">
        <f aca="false">SUM(E94:P94)</f>
        <v>0</v>
      </c>
    </row>
    <row r="95" customFormat="false" ht="15" hidden="false" customHeight="false" outlineLevel="0" collapsed="false">
      <c r="A95" s="8" t="s">
        <v>210</v>
      </c>
      <c r="B95" s="8" t="s">
        <v>211</v>
      </c>
      <c r="C95" s="12" t="n">
        <v>1500</v>
      </c>
      <c r="D95" s="12" t="n">
        <v>1000</v>
      </c>
      <c r="E95" s="2"/>
      <c r="F95" s="2" t="n">
        <v>67.85</v>
      </c>
      <c r="G95" s="2" t="n">
        <v>67.84</v>
      </c>
      <c r="H95" s="2" t="n">
        <v>420.3</v>
      </c>
      <c r="I95" s="2" t="n">
        <v>99.7</v>
      </c>
      <c r="K95" s="2" t="n">
        <v>83.47</v>
      </c>
      <c r="L95" s="2" t="n">
        <v>11.67</v>
      </c>
      <c r="M95" s="2" t="n">
        <v>33.09</v>
      </c>
      <c r="N95" s="2" t="n">
        <v>86.28</v>
      </c>
      <c r="O95" s="2" t="n">
        <v>58.37</v>
      </c>
      <c r="P95" s="2" t="n">
        <v>131.8</v>
      </c>
      <c r="Q95" s="4" t="n">
        <f aca="false">SUM(E95:P95)</f>
        <v>1060.37</v>
      </c>
    </row>
    <row r="96" customFormat="false" ht="15" hidden="false" customHeight="false" outlineLevel="0" collapsed="false">
      <c r="A96" s="8" t="s">
        <v>212</v>
      </c>
      <c r="B96" s="8" t="s">
        <v>213</v>
      </c>
      <c r="C96" s="12" t="n">
        <v>800</v>
      </c>
      <c r="D96" s="12" t="n">
        <v>800</v>
      </c>
      <c r="E96" s="2"/>
      <c r="Q96" s="4" t="n">
        <f aca="false">SUM(E96:P96)</f>
        <v>0</v>
      </c>
    </row>
    <row r="97" customFormat="false" ht="15" hidden="false" customHeight="false" outlineLevel="0" collapsed="false">
      <c r="A97" s="8" t="s">
        <v>214</v>
      </c>
      <c r="B97" s="8" t="s">
        <v>215</v>
      </c>
      <c r="C97" s="12" t="n">
        <v>1500</v>
      </c>
      <c r="D97" s="12" t="n">
        <v>1000</v>
      </c>
      <c r="E97" s="2"/>
      <c r="F97" s="2" t="n">
        <v>193.69</v>
      </c>
      <c r="G97" s="2" t="n">
        <v>104.2</v>
      </c>
      <c r="I97" s="2" t="n">
        <v>28.71</v>
      </c>
      <c r="N97" s="2" t="n">
        <v>210</v>
      </c>
      <c r="O97" s="2" t="n">
        <v>36.24</v>
      </c>
      <c r="P97" s="2" t="n">
        <v>156.05</v>
      </c>
      <c r="Q97" s="4" t="n">
        <f aca="false">SUM(E97:P97)</f>
        <v>728.89</v>
      </c>
    </row>
    <row r="98" customFormat="false" ht="15" hidden="false" customHeight="false" outlineLevel="0" collapsed="false">
      <c r="A98" s="8" t="s">
        <v>216</v>
      </c>
      <c r="B98" s="8" t="s">
        <v>217</v>
      </c>
      <c r="C98" s="12" t="n">
        <v>2500</v>
      </c>
      <c r="D98" s="12" t="n">
        <v>1000</v>
      </c>
      <c r="E98" s="2"/>
      <c r="Q98" s="4" t="n">
        <f aca="false">SUM(E98:P98)</f>
        <v>0</v>
      </c>
    </row>
    <row r="99" customFormat="false" ht="15" hidden="false" customHeight="false" outlineLevel="0" collapsed="false">
      <c r="A99" s="8" t="s">
        <v>218</v>
      </c>
      <c r="B99" s="8" t="s">
        <v>219</v>
      </c>
      <c r="C99" s="16"/>
      <c r="D99" s="12" t="n">
        <v>32130</v>
      </c>
      <c r="E99" s="2"/>
      <c r="J99" s="2" t="n">
        <v>3239.34</v>
      </c>
      <c r="K99" s="2" t="n">
        <v>3177.2</v>
      </c>
      <c r="L99" s="2" t="n">
        <f aca="false">1388.4+1560</f>
        <v>2948.4</v>
      </c>
      <c r="M99" s="2" t="n">
        <v>3125.2</v>
      </c>
      <c r="N99" s="2" t="n">
        <v>1341.6</v>
      </c>
      <c r="Q99" s="4" t="n">
        <f aca="false">SUM(E99:P99)</f>
        <v>13831.74</v>
      </c>
    </row>
    <row r="100" customFormat="false" ht="15" hidden="false" customHeight="false" outlineLevel="0" collapsed="false">
      <c r="A100" s="8" t="s">
        <v>220</v>
      </c>
      <c r="B100" s="8" t="s">
        <v>221</v>
      </c>
      <c r="C100" s="12" t="n">
        <v>7650</v>
      </c>
      <c r="D100" s="12" t="n">
        <v>15330</v>
      </c>
      <c r="E100" s="2"/>
      <c r="J100" s="2" t="n">
        <v>3377.66</v>
      </c>
      <c r="K100" s="2" t="n">
        <v>3138.2</v>
      </c>
      <c r="L100" s="2" t="n">
        <f aca="false">1289.6+1482</f>
        <v>2771.6</v>
      </c>
      <c r="M100" s="2" t="n">
        <v>2298.4</v>
      </c>
      <c r="N100" s="2" t="n">
        <v>738.4</v>
      </c>
      <c r="Q100" s="4" t="n">
        <f aca="false">SUM(E100:P100)</f>
        <v>12324.26</v>
      </c>
    </row>
    <row r="101" customFormat="false" ht="15" hidden="false" customHeight="false" outlineLevel="0" collapsed="false">
      <c r="A101" s="8" t="s">
        <v>222</v>
      </c>
      <c r="B101" s="8" t="s">
        <v>223</v>
      </c>
      <c r="C101" s="12" t="n">
        <v>32130</v>
      </c>
      <c r="D101" s="12" t="n">
        <v>93378</v>
      </c>
      <c r="E101" s="2"/>
      <c r="J101" s="2" t="n">
        <v>15275.54</v>
      </c>
      <c r="K101" s="2" t="n">
        <v>15272.9</v>
      </c>
      <c r="L101" s="2" t="n">
        <f aca="false">6403.25+7999.24</f>
        <v>14402.49</v>
      </c>
      <c r="M101" s="2" t="n">
        <v>11234.95</v>
      </c>
      <c r="O101" s="2" t="n">
        <v>1037</v>
      </c>
      <c r="P101" s="2" t="n">
        <f aca="false">-963</f>
        <v>-963</v>
      </c>
      <c r="Q101" s="4" t="n">
        <f aca="false">SUM(E101:P101)</f>
        <v>56259.88</v>
      </c>
    </row>
    <row r="102" customFormat="false" ht="15" hidden="false" customHeight="false" outlineLevel="0" collapsed="false">
      <c r="A102" s="8" t="s">
        <v>224</v>
      </c>
      <c r="B102" s="8" t="s">
        <v>225</v>
      </c>
      <c r="C102" s="12"/>
      <c r="D102" s="12"/>
      <c r="E102" s="2"/>
      <c r="J102" s="2"/>
      <c r="K102" s="2"/>
      <c r="L102" s="2"/>
      <c r="M102" s="2"/>
      <c r="O102" s="2"/>
      <c r="P102" s="2" t="n">
        <v>963</v>
      </c>
      <c r="Q102" s="4" t="n">
        <f aca="false">SUM(E102:P102)</f>
        <v>963</v>
      </c>
    </row>
    <row r="103" customFormat="false" ht="15" hidden="false" customHeight="false" outlineLevel="0" collapsed="false">
      <c r="A103" s="8" t="s">
        <v>226</v>
      </c>
      <c r="B103" s="14" t="s">
        <v>87</v>
      </c>
      <c r="C103" s="16"/>
      <c r="D103" s="12" t="n">
        <v>1200</v>
      </c>
      <c r="E103" s="2"/>
      <c r="J103" s="2" t="n">
        <v>0</v>
      </c>
      <c r="L103" s="2"/>
      <c r="M103" s="2" t="n">
        <v>0</v>
      </c>
      <c r="P103" s="2" t="n">
        <v>5264.1</v>
      </c>
      <c r="Q103" s="4" t="n">
        <f aca="false">SUM(E103:P103)</f>
        <v>5264.1</v>
      </c>
    </row>
    <row r="104" customFormat="false" ht="15" hidden="false" customHeight="false" outlineLevel="0" collapsed="false">
      <c r="A104" s="8" t="s">
        <v>227</v>
      </c>
      <c r="B104" s="8" t="s">
        <v>228</v>
      </c>
      <c r="C104" s="12" t="n">
        <v>5000</v>
      </c>
      <c r="D104" s="12" t="n">
        <v>8000</v>
      </c>
      <c r="E104" s="2" t="n">
        <v>70</v>
      </c>
      <c r="I104" s="0" t="n">
        <v>134.16</v>
      </c>
      <c r="J104" s="2" t="n">
        <f aca="false">1011.45-901.23</f>
        <v>110.22</v>
      </c>
      <c r="K104" s="2" t="n">
        <v>88.91</v>
      </c>
      <c r="L104" s="2" t="n">
        <v>304.08</v>
      </c>
      <c r="M104" s="2"/>
      <c r="N104" s="2" t="n">
        <v>20.64</v>
      </c>
      <c r="O104" s="2" t="n">
        <v>6.7</v>
      </c>
      <c r="P104" s="2" t="n">
        <f aca="false">789.71-734.71</f>
        <v>55</v>
      </c>
      <c r="Q104" s="4" t="n">
        <f aca="false">SUM(E104:P104)</f>
        <v>789.71</v>
      </c>
    </row>
    <row r="105" customFormat="false" ht="15" hidden="false" customHeight="false" outlineLevel="0" collapsed="false">
      <c r="A105" s="8" t="s">
        <v>229</v>
      </c>
      <c r="B105" s="14" t="s">
        <v>230</v>
      </c>
      <c r="C105" s="12" t="n">
        <v>3500</v>
      </c>
      <c r="D105" s="12" t="n">
        <v>5000</v>
      </c>
      <c r="E105" s="2"/>
      <c r="I105" s="2" t="n">
        <v>70</v>
      </c>
      <c r="K105" s="2" t="n">
        <v>796.33</v>
      </c>
      <c r="L105" s="2" t="n">
        <v>1617.8</v>
      </c>
      <c r="M105" s="2"/>
      <c r="N105" s="2"/>
      <c r="P105" s="2" t="n">
        <v>4549.88</v>
      </c>
      <c r="Q105" s="4" t="n">
        <f aca="false">SUM(E105:P105)</f>
        <v>7034.01</v>
      </c>
    </row>
    <row r="106" customFormat="false" ht="15" hidden="false" customHeight="false" outlineLevel="0" collapsed="false">
      <c r="A106" s="8" t="s">
        <v>231</v>
      </c>
      <c r="B106" s="8" t="s">
        <v>232</v>
      </c>
      <c r="C106" s="12" t="n">
        <v>36935</v>
      </c>
      <c r="D106" s="12" t="n">
        <v>36935</v>
      </c>
      <c r="E106" s="2" t="n">
        <v>1791.6</v>
      </c>
      <c r="F106" s="2" t="n">
        <v>2621.52</v>
      </c>
      <c r="G106" s="2" t="n">
        <v>2907.44</v>
      </c>
      <c r="H106" s="2" t="n">
        <v>3314.56</v>
      </c>
      <c r="I106" s="2" t="n">
        <v>4451.95</v>
      </c>
      <c r="J106" s="2" t="n">
        <v>6013.7</v>
      </c>
      <c r="K106" s="2" t="n">
        <v>4760.5</v>
      </c>
      <c r="L106" s="2" t="n">
        <v>4345.7</v>
      </c>
      <c r="M106" s="2" t="n">
        <v>3356.5</v>
      </c>
      <c r="N106" s="2" t="n">
        <v>3676.7</v>
      </c>
      <c r="O106" s="2" t="n">
        <v>4448.6</v>
      </c>
      <c r="P106" s="2" t="n">
        <v>2232.32</v>
      </c>
      <c r="Q106" s="4" t="n">
        <f aca="false">SUM(E106:P106)</f>
        <v>43921.09</v>
      </c>
    </row>
    <row r="107" customFormat="false" ht="15" hidden="false" customHeight="false" outlineLevel="0" collapsed="false">
      <c r="A107" s="8" t="s">
        <v>233</v>
      </c>
      <c r="B107" s="8" t="s">
        <v>234</v>
      </c>
      <c r="C107" s="12" t="n">
        <v>45000</v>
      </c>
      <c r="D107" s="12" t="n">
        <v>45000</v>
      </c>
      <c r="E107" s="2" t="n">
        <v>1289.27</v>
      </c>
      <c r="F107" s="2" t="n">
        <v>1474.63</v>
      </c>
      <c r="G107" s="2" t="n">
        <v>1211.32</v>
      </c>
      <c r="H107" s="2" t="n">
        <v>1154.73</v>
      </c>
      <c r="I107" s="2" t="n">
        <v>1700.74</v>
      </c>
      <c r="J107" s="2" t="n">
        <v>2854.84</v>
      </c>
      <c r="K107" s="2" t="n">
        <v>2804.65</v>
      </c>
      <c r="L107" s="2" t="n">
        <v>3911.5</v>
      </c>
      <c r="M107" s="2" t="n">
        <v>4951.48</v>
      </c>
      <c r="N107" s="2" t="n">
        <v>3363.08</v>
      </c>
      <c r="O107" s="2" t="n">
        <v>4618.45</v>
      </c>
      <c r="P107" s="2" t="n">
        <f aca="false">32306.66-29334.69</f>
        <v>2971.97</v>
      </c>
      <c r="Q107" s="4" t="n">
        <f aca="false">SUM(E107:P107)</f>
        <v>32306.66</v>
      </c>
    </row>
    <row r="108" customFormat="false" ht="15" hidden="false" customHeight="false" outlineLevel="0" collapsed="false">
      <c r="A108" s="8" t="s">
        <v>235</v>
      </c>
      <c r="B108" s="8" t="s">
        <v>236</v>
      </c>
      <c r="C108" s="12" t="n">
        <v>2000</v>
      </c>
      <c r="D108" s="12" t="n">
        <v>2000</v>
      </c>
      <c r="E108" s="2"/>
      <c r="O108" s="2" t="n">
        <v>1944.68</v>
      </c>
      <c r="Q108" s="4" t="n">
        <f aca="false">SUM(E108:P108)</f>
        <v>1944.68</v>
      </c>
    </row>
    <row r="109" customFormat="false" ht="15" hidden="false" customHeight="false" outlineLevel="0" collapsed="false">
      <c r="A109" s="8" t="s">
        <v>237</v>
      </c>
      <c r="B109" s="8" t="s">
        <v>238</v>
      </c>
      <c r="C109" s="12" t="n">
        <v>200</v>
      </c>
      <c r="D109" s="12" t="n">
        <v>200</v>
      </c>
      <c r="E109" s="2"/>
      <c r="Q109" s="4" t="n">
        <f aca="false">SUM(E109:P109)</f>
        <v>0</v>
      </c>
    </row>
    <row r="110" customFormat="false" ht="15" hidden="false" customHeight="false" outlineLevel="0" collapsed="false">
      <c r="A110" s="8" t="s">
        <v>239</v>
      </c>
      <c r="B110" s="8" t="s">
        <v>240</v>
      </c>
      <c r="C110" s="12" t="n">
        <v>3000</v>
      </c>
      <c r="D110" s="12" t="n">
        <v>1500</v>
      </c>
      <c r="E110" s="2"/>
      <c r="H110" s="2" t="n">
        <v>1500</v>
      </c>
      <c r="Q110" s="4" t="n">
        <f aca="false">SUM(E110:P110)</f>
        <v>1500</v>
      </c>
    </row>
    <row r="111" customFormat="false" ht="15" hidden="false" customHeight="false" outlineLevel="0" collapsed="false">
      <c r="A111" s="8" t="s">
        <v>241</v>
      </c>
      <c r="B111" s="8" t="s">
        <v>242</v>
      </c>
      <c r="C111" s="12" t="n">
        <v>36400</v>
      </c>
      <c r="D111" s="12" t="n">
        <v>36400</v>
      </c>
      <c r="E111" s="2"/>
      <c r="O111" s="2" t="n">
        <v>25849.2</v>
      </c>
      <c r="Q111" s="4" t="n">
        <f aca="false">SUM(E111:P111)</f>
        <v>25849.2</v>
      </c>
    </row>
    <row r="112" customFormat="false" ht="15" hidden="false" customHeight="false" outlineLevel="0" collapsed="false">
      <c r="A112" s="8" t="s">
        <v>243</v>
      </c>
      <c r="B112" s="8" t="s">
        <v>244</v>
      </c>
      <c r="C112" s="12" t="n">
        <v>38000</v>
      </c>
      <c r="D112" s="12" t="n">
        <v>42000</v>
      </c>
      <c r="E112" s="2" t="n">
        <v>1668.1</v>
      </c>
      <c r="F112" s="2" t="n">
        <v>3046.27</v>
      </c>
      <c r="G112" s="2" t="n">
        <v>2209.6</v>
      </c>
      <c r="H112" s="2" t="n">
        <v>2160.17</v>
      </c>
      <c r="I112" s="2" t="n">
        <v>2449.84</v>
      </c>
      <c r="J112" s="2" t="n">
        <v>5764.01</v>
      </c>
      <c r="K112" s="2" t="n">
        <v>4611.69</v>
      </c>
      <c r="L112" s="2" t="n">
        <v>4883.5</v>
      </c>
      <c r="M112" s="2" t="n">
        <v>4015.29</v>
      </c>
      <c r="N112" s="2" t="n">
        <v>3013.67</v>
      </c>
      <c r="O112" s="2" t="n">
        <v>2931.64</v>
      </c>
      <c r="P112" s="2" t="n">
        <v>2132.17</v>
      </c>
      <c r="Q112" s="4" t="n">
        <f aca="false">SUM(E112:P112)</f>
        <v>38885.95</v>
      </c>
    </row>
    <row r="113" customFormat="false" ht="15" hidden="false" customHeight="false" outlineLevel="0" collapsed="false">
      <c r="A113" s="8" t="s">
        <v>245</v>
      </c>
      <c r="B113" s="8" t="s">
        <v>246</v>
      </c>
      <c r="C113" s="12" t="n">
        <v>10422</v>
      </c>
      <c r="D113" s="12" t="n">
        <v>10422</v>
      </c>
      <c r="E113" s="2"/>
      <c r="F113" s="2" t="n">
        <v>6604.72</v>
      </c>
      <c r="Q113" s="4" t="n">
        <f aca="false">SUM(E113:P113)</f>
        <v>6604.72</v>
      </c>
    </row>
    <row r="114" customFormat="false" ht="15" hidden="false" customHeight="false" outlineLevel="0" collapsed="false">
      <c r="A114" s="8" t="s">
        <v>247</v>
      </c>
      <c r="B114" s="8" t="s">
        <v>248</v>
      </c>
      <c r="C114" s="12" t="n">
        <v>5000</v>
      </c>
      <c r="D114" s="12" t="n">
        <v>5000</v>
      </c>
      <c r="E114" s="2"/>
      <c r="Q114" s="4" t="n">
        <f aca="false">SUM(E114:P114)</f>
        <v>0</v>
      </c>
    </row>
    <row r="115" customFormat="false" ht="15" hidden="false" customHeight="false" outlineLevel="0" collapsed="false">
      <c r="A115" s="8" t="s">
        <v>249</v>
      </c>
      <c r="B115" s="8" t="s">
        <v>250</v>
      </c>
      <c r="C115" s="12" t="n">
        <v>13000</v>
      </c>
      <c r="D115" s="12" t="n">
        <v>13000</v>
      </c>
      <c r="E115" s="2"/>
      <c r="H115" s="2" t="n">
        <v>3442.25</v>
      </c>
      <c r="P115" s="2" t="n">
        <v>4005.25</v>
      </c>
      <c r="Q115" s="4" t="n">
        <f aca="false">SUM(E115:P115)</f>
        <v>7447.5</v>
      </c>
    </row>
    <row r="116" customFormat="false" ht="15" hidden="false" customHeight="false" outlineLevel="0" collapsed="false">
      <c r="A116" s="8" t="s">
        <v>251</v>
      </c>
      <c r="B116" s="8" t="s">
        <v>252</v>
      </c>
      <c r="C116" s="12" t="n">
        <v>200</v>
      </c>
      <c r="D116" s="12" t="n">
        <v>200</v>
      </c>
      <c r="E116" s="2"/>
      <c r="I116" s="2" t="n">
        <v>279</v>
      </c>
      <c r="Q116" s="4" t="n">
        <f aca="false">SUM(E116:P116)</f>
        <v>279</v>
      </c>
    </row>
    <row r="117" customFormat="false" ht="15" hidden="false" customHeight="false" outlineLevel="0" collapsed="false">
      <c r="A117" s="8" t="s">
        <v>253</v>
      </c>
      <c r="B117" s="8" t="s">
        <v>254</v>
      </c>
      <c r="C117" s="12" t="n">
        <v>157000</v>
      </c>
      <c r="D117" s="12" t="n">
        <v>157000</v>
      </c>
      <c r="E117" s="2" t="n">
        <v>8567.94</v>
      </c>
      <c r="F117" s="2" t="n">
        <v>19902.38</v>
      </c>
      <c r="G117" s="2" t="n">
        <v>10271.38</v>
      </c>
      <c r="H117" s="2" t="n">
        <v>9134.36</v>
      </c>
      <c r="I117" s="2" t="n">
        <v>7574.22</v>
      </c>
      <c r="J117" s="2" t="n">
        <v>8484.61</v>
      </c>
      <c r="K117" s="2" t="n">
        <v>-13177.2</v>
      </c>
      <c r="L117" s="2" t="n">
        <v>4816.02</v>
      </c>
      <c r="M117" s="2" t="n">
        <v>9340.96</v>
      </c>
      <c r="N117" s="2" t="n">
        <v>6826.59</v>
      </c>
      <c r="O117" s="2" t="n">
        <v>3155.38</v>
      </c>
      <c r="P117" s="2" t="n">
        <v>11755.67</v>
      </c>
      <c r="Q117" s="4" t="n">
        <f aca="false">SUM(E117:P117)</f>
        <v>86652.31</v>
      </c>
    </row>
    <row r="118" customFormat="false" ht="15" hidden="false" customHeight="false" outlineLevel="0" collapsed="false">
      <c r="A118" s="8" t="s">
        <v>255</v>
      </c>
      <c r="B118" s="8" t="s">
        <v>256</v>
      </c>
      <c r="C118" s="12" t="n">
        <v>24000</v>
      </c>
      <c r="D118" s="12" t="n">
        <v>24000</v>
      </c>
      <c r="E118" s="2" t="n">
        <v>863.01</v>
      </c>
      <c r="F118" s="2" t="n">
        <v>863.01</v>
      </c>
      <c r="G118" s="2" t="n">
        <v>863.01</v>
      </c>
      <c r="H118" s="2" t="n">
        <v>863.01</v>
      </c>
      <c r="I118" s="2" t="n">
        <v>863.01</v>
      </c>
      <c r="J118" s="2" t="n">
        <v>863.01</v>
      </c>
      <c r="K118" s="2" t="n">
        <v>863.01</v>
      </c>
      <c r="L118" s="2" t="n">
        <f aca="false">863.01</f>
        <v>863.01</v>
      </c>
      <c r="M118" s="2" t="n">
        <f aca="false">863.01</f>
        <v>863.01</v>
      </c>
      <c r="N118" s="2" t="n">
        <v>863.01</v>
      </c>
      <c r="P118" s="2" t="n">
        <v>2739.21</v>
      </c>
      <c r="Q118" s="4" t="n">
        <f aca="false">SUM(E118:P118)</f>
        <v>11369.31</v>
      </c>
    </row>
    <row r="119" customFormat="false" ht="15" hidden="false" customHeight="false" outlineLevel="0" collapsed="false">
      <c r="A119" s="8" t="s">
        <v>257</v>
      </c>
      <c r="B119" s="8" t="s">
        <v>258</v>
      </c>
      <c r="C119" s="12" t="n">
        <v>55000</v>
      </c>
      <c r="D119" s="12" t="n">
        <v>20000</v>
      </c>
      <c r="E119" s="0" t="s">
        <v>259</v>
      </c>
      <c r="F119" s="2" t="n">
        <v>55000</v>
      </c>
      <c r="Q119" s="4" t="n">
        <f aca="false">SUM(E119:P119)</f>
        <v>55000</v>
      </c>
    </row>
    <row r="120" customFormat="false" ht="15" hidden="false" customHeight="false" outlineLevel="0" collapsed="false">
      <c r="A120" s="8" t="s">
        <v>260</v>
      </c>
      <c r="B120" s="8" t="s">
        <v>261</v>
      </c>
      <c r="C120" s="12" t="n">
        <v>30000</v>
      </c>
      <c r="E120" s="0" t="s">
        <v>259</v>
      </c>
      <c r="F120" s="2" t="n">
        <v>30000</v>
      </c>
      <c r="Q120" s="4" t="n">
        <f aca="false">SUM(E120:P120)</f>
        <v>30000</v>
      </c>
    </row>
    <row r="121" customFormat="false" ht="15" hidden="false" customHeight="false" outlineLevel="0" collapsed="false">
      <c r="A121" s="8" t="s">
        <v>262</v>
      </c>
      <c r="B121" s="8" t="s">
        <v>263</v>
      </c>
      <c r="C121" s="12" t="n">
        <v>0</v>
      </c>
      <c r="D121" s="12" t="n">
        <v>10000</v>
      </c>
      <c r="E121" s="2"/>
      <c r="P121" s="2" t="n">
        <v>10000</v>
      </c>
      <c r="Q121" s="4" t="n">
        <f aca="false">SUM(E121:P121)</f>
        <v>10000</v>
      </c>
    </row>
    <row r="122" customFormat="false" ht="15" hidden="false" customHeight="false" outlineLevel="0" collapsed="false">
      <c r="A122" s="8"/>
      <c r="B122" s="14" t="s">
        <v>3</v>
      </c>
      <c r="C122" s="12" t="n">
        <f aca="false">SUM(C7:C121)</f>
        <v>1261191</v>
      </c>
      <c r="D122" s="12" t="n">
        <f aca="false">SUM(D7:D121)</f>
        <v>1324482</v>
      </c>
      <c r="E122" s="17" t="n">
        <f aca="false">SUM(E7:E121)</f>
        <v>53328.16</v>
      </c>
      <c r="F122" s="17" t="n">
        <f aca="false">SUM(F7:F121)</f>
        <v>158130.9</v>
      </c>
      <c r="G122" s="17" t="n">
        <f aca="false">SUM(G7:G121)</f>
        <v>65008.13</v>
      </c>
      <c r="H122" s="17" t="n">
        <f aca="false">SUM(H7:H121)</f>
        <v>66735.73</v>
      </c>
      <c r="I122" s="17" t="n">
        <f aca="false">SUM(I7:I121)</f>
        <v>58631.01</v>
      </c>
      <c r="J122" s="17" t="n">
        <f aca="false">SUM(J7:J121)</f>
        <v>125604.44</v>
      </c>
      <c r="K122" s="17" t="n">
        <f aca="false">SUM(K7:K121)</f>
        <v>77970.94</v>
      </c>
      <c r="L122" s="17" t="n">
        <f aca="false">SUM(L7:L121)</f>
        <v>95073.51</v>
      </c>
      <c r="M122" s="17" t="n">
        <f aca="false">SUM(M7:M121)</f>
        <v>130766.84</v>
      </c>
      <c r="N122" s="17" t="n">
        <f aca="false">SUM(N7:N121)</f>
        <v>67431.01</v>
      </c>
      <c r="O122" s="17" t="n">
        <f aca="false">SUM(O7:O121)</f>
        <v>83873.57</v>
      </c>
      <c r="P122" s="17" t="n">
        <f aca="false">SUM(P7:P121)</f>
        <v>129167.01</v>
      </c>
      <c r="Q122" s="17" t="n">
        <f aca="false">SUM(Q7:Q121)</f>
        <v>1111721.25</v>
      </c>
    </row>
    <row r="123" customFormat="false" ht="15" hidden="false" customHeight="false" outlineLevel="0" collapsed="false">
      <c r="B123" s="14" t="s">
        <v>264</v>
      </c>
      <c r="I123" s="2"/>
    </row>
    <row r="124" customFormat="false" ht="15" hidden="false" customHeight="false" outlineLevel="0" collapsed="false">
      <c r="A124" s="8" t="s">
        <v>265</v>
      </c>
      <c r="B124" s="8" t="s">
        <v>266</v>
      </c>
      <c r="C124" s="12" t="n">
        <v>151550</v>
      </c>
      <c r="D124" s="0" t="n">
        <v>154675.15</v>
      </c>
      <c r="E124" s="2" t="n">
        <v>155394.9</v>
      </c>
      <c r="Q124" s="4" t="n">
        <f aca="false">SUM(E124:P124)</f>
        <v>155394.9</v>
      </c>
    </row>
    <row r="125" customFormat="false" ht="15" hidden="false" customHeight="false" outlineLevel="0" collapsed="false">
      <c r="A125" s="8" t="s">
        <v>267</v>
      </c>
      <c r="B125" s="8" t="s">
        <v>268</v>
      </c>
      <c r="C125" s="12" t="n">
        <v>5800</v>
      </c>
      <c r="D125" s="16" t="n">
        <v>5800</v>
      </c>
      <c r="F125" s="13" t="n">
        <v>210.84</v>
      </c>
      <c r="G125" s="2" t="n">
        <v>2188.97</v>
      </c>
      <c r="H125" s="2" t="n">
        <v>2721.94</v>
      </c>
      <c r="Q125" s="4" t="n">
        <f aca="false">SUM(E125:P125)</f>
        <v>5121.75</v>
      </c>
    </row>
    <row r="126" customFormat="false" ht="15" hidden="false" customHeight="false" outlineLevel="0" collapsed="false">
      <c r="A126" s="8" t="s">
        <v>269</v>
      </c>
      <c r="B126" s="8" t="s">
        <v>270</v>
      </c>
      <c r="C126" s="12" t="n">
        <v>600000</v>
      </c>
      <c r="D126" s="16" t="n">
        <v>600000</v>
      </c>
      <c r="E126" s="2" t="n">
        <v>172621.85</v>
      </c>
      <c r="H126" s="2" t="n">
        <v>161330.02</v>
      </c>
      <c r="K126" s="2" t="n">
        <v>182623.96</v>
      </c>
      <c r="N126" s="2" t="n">
        <v>179748.58</v>
      </c>
      <c r="Q126" s="4" t="n">
        <f aca="false">SUM(E126:P126)</f>
        <v>696324.41</v>
      </c>
    </row>
    <row r="127" customFormat="false" ht="15" hidden="false" customHeight="false" outlineLevel="0" collapsed="false">
      <c r="A127" s="8" t="s">
        <v>271</v>
      </c>
      <c r="B127" s="8" t="s">
        <v>272</v>
      </c>
      <c r="C127" s="12" t="n">
        <v>28500</v>
      </c>
      <c r="D127" s="16" t="n">
        <v>24000</v>
      </c>
      <c r="I127" s="2" t="n">
        <v>26935.52</v>
      </c>
      <c r="Q127" s="4" t="n">
        <f aca="false">SUM(E127:P127)</f>
        <v>26935.52</v>
      </c>
    </row>
    <row r="128" customFormat="false" ht="15" hidden="false" customHeight="false" outlineLevel="0" collapsed="false">
      <c r="A128" s="8" t="s">
        <v>273</v>
      </c>
      <c r="B128" s="8" t="s">
        <v>274</v>
      </c>
      <c r="C128" s="12" t="n">
        <v>700</v>
      </c>
      <c r="D128" s="16" t="n">
        <v>700</v>
      </c>
      <c r="E128" s="2" t="n">
        <v>0.42</v>
      </c>
      <c r="F128" s="2" t="n">
        <v>32.53</v>
      </c>
      <c r="G128" s="2" t="n">
        <v>5.52</v>
      </c>
      <c r="H128" s="2" t="n">
        <v>425</v>
      </c>
      <c r="I128" s="2" t="n">
        <v>115.26</v>
      </c>
      <c r="K128" s="2" t="n">
        <v>92</v>
      </c>
      <c r="L128" s="2" t="n">
        <v>25.82</v>
      </c>
      <c r="M128" s="2" t="n">
        <v>170.7</v>
      </c>
      <c r="N128" s="2" t="n">
        <v>224.69</v>
      </c>
      <c r="O128" s="2" t="n">
        <v>58.1</v>
      </c>
      <c r="P128" s="2" t="n">
        <v>91.09</v>
      </c>
      <c r="Q128" s="4" t="n">
        <f aca="false">SUM(E128:P128)</f>
        <v>1241.13</v>
      </c>
    </row>
    <row r="129" customFormat="false" ht="15" hidden="false" customHeight="false" outlineLevel="0" collapsed="false">
      <c r="A129" s="8" t="s">
        <v>275</v>
      </c>
      <c r="B129" s="8" t="s">
        <v>276</v>
      </c>
      <c r="C129" s="12" t="n">
        <v>150000</v>
      </c>
      <c r="D129" s="12" t="n">
        <v>150000</v>
      </c>
      <c r="H129" s="2" t="n">
        <v>11359</v>
      </c>
      <c r="I129" s="2" t="n">
        <v>46076.5</v>
      </c>
      <c r="J129" s="2" t="n">
        <v>20003.48</v>
      </c>
      <c r="K129" s="2" t="n">
        <v>24920</v>
      </c>
      <c r="L129" s="2" t="n">
        <v>29103.42</v>
      </c>
      <c r="M129" s="2" t="n">
        <v>20569.5</v>
      </c>
      <c r="N129" s="2" t="n">
        <v>5963</v>
      </c>
      <c r="O129" s="2" t="n">
        <v>-17909.5</v>
      </c>
      <c r="P129" s="2" t="n">
        <v>245.32</v>
      </c>
      <c r="Q129" s="4" t="n">
        <f aca="false">SUM(E129:P129)</f>
        <v>140330.72</v>
      </c>
    </row>
    <row r="130" customFormat="false" ht="15" hidden="false" customHeight="false" outlineLevel="0" collapsed="false">
      <c r="A130" s="8" t="s">
        <v>277</v>
      </c>
      <c r="B130" s="8" t="s">
        <v>278</v>
      </c>
      <c r="C130" s="16"/>
      <c r="D130" s="16"/>
      <c r="G130" s="2" t="n">
        <v>200</v>
      </c>
      <c r="Q130" s="4" t="n">
        <f aca="false">SUM(E130:P130)</f>
        <v>200</v>
      </c>
    </row>
    <row r="131" customFormat="false" ht="15" hidden="false" customHeight="false" outlineLevel="0" collapsed="false">
      <c r="A131" s="8" t="s">
        <v>279</v>
      </c>
      <c r="B131" s="8" t="s">
        <v>280</v>
      </c>
      <c r="C131" s="12" t="n">
        <v>100</v>
      </c>
      <c r="D131" s="16" t="n">
        <v>100</v>
      </c>
      <c r="G131" s="2" t="n">
        <v>75</v>
      </c>
      <c r="H131" s="2" t="n">
        <v>25</v>
      </c>
      <c r="I131" s="2" t="n">
        <v>300</v>
      </c>
      <c r="K131" s="2" t="n">
        <v>200</v>
      </c>
      <c r="M131" s="2" t="n">
        <v>400</v>
      </c>
      <c r="N131" s="2" t="n">
        <v>100</v>
      </c>
      <c r="O131" s="2" t="n">
        <v>400</v>
      </c>
      <c r="Q131" s="4" t="n">
        <f aca="false">SUM(E131:P131)</f>
        <v>1500</v>
      </c>
    </row>
    <row r="132" customFormat="false" ht="15" hidden="false" customHeight="false" outlineLevel="0" collapsed="false">
      <c r="A132" s="8" t="s">
        <v>281</v>
      </c>
      <c r="B132" s="8" t="s">
        <v>282</v>
      </c>
      <c r="C132" s="12" t="n">
        <v>0</v>
      </c>
      <c r="D132" s="16"/>
      <c r="G132" s="2" t="n">
        <v>75</v>
      </c>
      <c r="I132" s="2" t="n">
        <v>75</v>
      </c>
      <c r="M132" s="2" t="n">
        <v>75</v>
      </c>
      <c r="N132" s="2" t="n">
        <v>75</v>
      </c>
      <c r="O132" s="2" t="n">
        <v>225</v>
      </c>
      <c r="Q132" s="4" t="n">
        <f aca="false">SUM(E132:P132)</f>
        <v>525</v>
      </c>
    </row>
    <row r="133" customFormat="false" ht="15" hidden="false" customHeight="false" outlineLevel="0" collapsed="false">
      <c r="A133" s="8" t="s">
        <v>283</v>
      </c>
      <c r="B133" s="8" t="s">
        <v>284</v>
      </c>
      <c r="C133" s="12" t="n">
        <v>15000</v>
      </c>
      <c r="D133" s="16" t="n">
        <v>15000</v>
      </c>
      <c r="F133" s="2" t="n">
        <v>25</v>
      </c>
      <c r="G133" s="2" t="n">
        <v>15</v>
      </c>
      <c r="H133" s="2" t="n">
        <v>1370</v>
      </c>
      <c r="I133" s="2" t="n">
        <v>8820</v>
      </c>
      <c r="K133" s="2" t="n">
        <v>2755</v>
      </c>
      <c r="L133" s="2" t="n">
        <v>2270</v>
      </c>
      <c r="M133" s="2" t="n">
        <v>1035</v>
      </c>
      <c r="N133" s="2" t="n">
        <v>345</v>
      </c>
      <c r="O133" s="2" t="n">
        <v>360</v>
      </c>
      <c r="P133" s="2" t="n">
        <v>115</v>
      </c>
      <c r="Q133" s="4" t="n">
        <f aca="false">SUM(E133:P133)</f>
        <v>17110</v>
      </c>
    </row>
    <row r="134" customFormat="false" ht="15" hidden="false" customHeight="false" outlineLevel="0" collapsed="false">
      <c r="A134" s="8" t="s">
        <v>285</v>
      </c>
      <c r="B134" s="8" t="s">
        <v>286</v>
      </c>
      <c r="C134" s="12" t="n">
        <v>700</v>
      </c>
      <c r="D134" s="16" t="n">
        <v>200</v>
      </c>
      <c r="E134" s="2" t="n">
        <f aca="false">14.16</f>
        <v>14.16</v>
      </c>
      <c r="G134" s="2" t="n">
        <v>46.68</v>
      </c>
      <c r="H134" s="2" t="n">
        <v>24.5</v>
      </c>
      <c r="I134" s="2" t="n">
        <v>28.54</v>
      </c>
      <c r="J134" s="2" t="n">
        <v>26.26</v>
      </c>
      <c r="K134" s="2" t="n">
        <v>26.39</v>
      </c>
      <c r="L134" s="2" t="n">
        <v>41.06</v>
      </c>
      <c r="M134" s="2" t="n">
        <v>38.17</v>
      </c>
      <c r="N134" s="2" t="n">
        <v>38.73</v>
      </c>
      <c r="P134" s="2" t="n">
        <f aca="false">384.89-284.49</f>
        <v>100.4</v>
      </c>
      <c r="Q134" s="4" t="n">
        <f aca="false">SUM(E134:P134)</f>
        <v>384.89</v>
      </c>
    </row>
    <row r="135" customFormat="false" ht="15" hidden="false" customHeight="false" outlineLevel="0" collapsed="false">
      <c r="A135" s="8" t="s">
        <v>287</v>
      </c>
      <c r="B135" s="8" t="s">
        <v>288</v>
      </c>
      <c r="C135" s="12" t="n">
        <v>7200</v>
      </c>
      <c r="D135" s="16" t="n">
        <v>7200</v>
      </c>
      <c r="E135" s="2" t="n">
        <v>550</v>
      </c>
      <c r="F135" s="2" t="n">
        <v>550</v>
      </c>
      <c r="G135" s="2" t="n">
        <v>550</v>
      </c>
      <c r="H135" s="2" t="n">
        <v>550</v>
      </c>
      <c r="I135" s="2" t="n">
        <v>550</v>
      </c>
      <c r="J135" s="2" t="n">
        <v>550</v>
      </c>
      <c r="K135" s="2" t="n">
        <v>3050</v>
      </c>
      <c r="L135" s="2" t="n">
        <v>550</v>
      </c>
      <c r="M135" s="2" t="n">
        <v>550</v>
      </c>
      <c r="N135" s="2" t="n">
        <v>550</v>
      </c>
      <c r="O135" s="2" t="n">
        <v>550</v>
      </c>
      <c r="P135" s="2" t="n">
        <f aca="false">550+500</f>
        <v>1050</v>
      </c>
      <c r="Q135" s="4" t="n">
        <f aca="false">SUM(E135:P135)</f>
        <v>9600</v>
      </c>
    </row>
    <row r="136" customFormat="false" ht="15" hidden="false" customHeight="false" outlineLevel="0" collapsed="false">
      <c r="A136" s="8" t="s">
        <v>289</v>
      </c>
      <c r="B136" s="8" t="s">
        <v>290</v>
      </c>
      <c r="C136" s="12" t="n">
        <v>12000</v>
      </c>
      <c r="D136" s="16" t="n">
        <v>0</v>
      </c>
      <c r="Q136" s="4" t="n">
        <v>0</v>
      </c>
    </row>
    <row r="137" customFormat="false" ht="15" hidden="false" customHeight="false" outlineLevel="0" collapsed="false">
      <c r="A137" s="8" t="s">
        <v>291</v>
      </c>
      <c r="B137" s="8" t="s">
        <v>292</v>
      </c>
      <c r="C137" s="12" t="n">
        <v>21000</v>
      </c>
      <c r="D137" s="16" t="n">
        <v>21000</v>
      </c>
      <c r="N137" s="2" t="n">
        <v>21000</v>
      </c>
      <c r="Q137" s="4" t="n">
        <f aca="false">SUM(E137:P137)</f>
        <v>21000</v>
      </c>
    </row>
    <row r="138" customFormat="false" ht="15" hidden="false" customHeight="false" outlineLevel="0" collapsed="false">
      <c r="A138" s="8" t="s">
        <v>293</v>
      </c>
      <c r="B138" s="8" t="s">
        <v>294</v>
      </c>
      <c r="C138" s="12" t="n">
        <v>2000</v>
      </c>
      <c r="D138" s="12" t="n">
        <v>2000</v>
      </c>
      <c r="H138" s="2" t="n">
        <v>210</v>
      </c>
      <c r="I138" s="2" t="n">
        <v>570</v>
      </c>
      <c r="K138" s="2" t="n">
        <v>1130</v>
      </c>
      <c r="L138" s="2" t="n">
        <v>430</v>
      </c>
      <c r="M138" s="2" t="n">
        <v>10</v>
      </c>
      <c r="O138" s="2" t="n">
        <v>5</v>
      </c>
      <c r="Q138" s="4" t="n">
        <f aca="false">SUM(E138:P138)</f>
        <v>2355</v>
      </c>
    </row>
    <row r="139" customFormat="false" ht="15" hidden="false" customHeight="false" outlineLevel="0" collapsed="false">
      <c r="A139" s="8" t="s">
        <v>295</v>
      </c>
      <c r="B139" s="8" t="s">
        <v>296</v>
      </c>
      <c r="C139" s="12" t="n">
        <v>1000</v>
      </c>
      <c r="D139" s="12" t="n">
        <v>1000</v>
      </c>
      <c r="F139" s="2" t="n">
        <v>64</v>
      </c>
      <c r="G139" s="2" t="n">
        <v>110</v>
      </c>
      <c r="H139" s="2" t="n">
        <v>96</v>
      </c>
      <c r="I139" s="2" t="n">
        <v>436</v>
      </c>
      <c r="K139" s="2" t="n">
        <v>166</v>
      </c>
      <c r="L139" s="2" t="n">
        <v>205</v>
      </c>
      <c r="M139" s="2" t="n">
        <v>110</v>
      </c>
      <c r="N139" s="2" t="n">
        <v>254</v>
      </c>
      <c r="O139" s="2" t="n">
        <v>224</v>
      </c>
      <c r="P139" s="2" t="n">
        <f aca="false">1807-1665</f>
        <v>142</v>
      </c>
      <c r="Q139" s="4" t="n">
        <f aca="false">SUM(E139:P139)</f>
        <v>1807</v>
      </c>
    </row>
    <row r="140" customFormat="false" ht="15" hidden="false" customHeight="false" outlineLevel="0" collapsed="false">
      <c r="A140" s="8" t="s">
        <v>297</v>
      </c>
      <c r="B140" s="8" t="s">
        <v>298</v>
      </c>
      <c r="C140" s="12" t="n">
        <v>9000</v>
      </c>
      <c r="D140" s="12" t="n">
        <v>9000</v>
      </c>
      <c r="E140" s="2" t="n">
        <v>1840.29</v>
      </c>
      <c r="H140" s="2" t="n">
        <v>882</v>
      </c>
      <c r="I140" s="2" t="n">
        <v>1015.01</v>
      </c>
      <c r="J140" s="2" t="n">
        <v>1885.02</v>
      </c>
      <c r="K140" s="2"/>
      <c r="L140" s="2" t="n">
        <v>4757.01</v>
      </c>
      <c r="M140" s="2"/>
      <c r="N140" s="2" t="n">
        <v>6058.87</v>
      </c>
      <c r="O140" s="2" t="n">
        <v>1375.6</v>
      </c>
      <c r="P140" s="2" t="n">
        <v>1555.03</v>
      </c>
      <c r="Q140" s="4" t="n">
        <f aca="false">SUM(E140:P140)</f>
        <v>19368.83</v>
      </c>
    </row>
    <row r="141" customFormat="false" ht="15" hidden="false" customHeight="false" outlineLevel="0" collapsed="false">
      <c r="A141" s="8" t="s">
        <v>299</v>
      </c>
      <c r="B141" s="8" t="s">
        <v>300</v>
      </c>
      <c r="C141" s="12" t="n">
        <v>200</v>
      </c>
      <c r="D141" s="12" t="n">
        <v>200</v>
      </c>
      <c r="I141" s="2" t="n">
        <v>100</v>
      </c>
      <c r="Q141" s="4" t="n">
        <f aca="false">SUM(E141:P141)</f>
        <v>100</v>
      </c>
    </row>
    <row r="142" customFormat="false" ht="15" hidden="false" customHeight="false" outlineLevel="0" collapsed="false">
      <c r="A142" s="8" t="s">
        <v>301</v>
      </c>
      <c r="B142" s="8" t="s">
        <v>302</v>
      </c>
      <c r="C142" s="12" t="n">
        <v>12000</v>
      </c>
      <c r="D142" s="12" t="n">
        <v>12000</v>
      </c>
      <c r="E142" s="2" t="n">
        <v>1790</v>
      </c>
      <c r="F142" s="2" t="n">
        <v>1065</v>
      </c>
      <c r="G142" s="2" t="n">
        <v>2223</v>
      </c>
      <c r="H142" s="2" t="n">
        <v>2723</v>
      </c>
      <c r="I142" s="2" t="n">
        <v>2762</v>
      </c>
      <c r="J142" s="2" t="n">
        <v>3230</v>
      </c>
      <c r="K142" s="2" t="n">
        <v>4416</v>
      </c>
      <c r="L142" s="2" t="n">
        <v>-6879</v>
      </c>
      <c r="M142" s="2" t="n">
        <v>2015</v>
      </c>
      <c r="N142" s="2" t="n">
        <v>1255</v>
      </c>
      <c r="O142" s="2" t="n">
        <v>3478.5</v>
      </c>
      <c r="P142" s="2" t="n">
        <v>-2493</v>
      </c>
      <c r="Q142" s="4" t="n">
        <f aca="false">SUM(E142:P142)</f>
        <v>15585.5</v>
      </c>
    </row>
    <row r="143" customFormat="false" ht="15" hidden="false" customHeight="false" outlineLevel="0" collapsed="false">
      <c r="A143" s="8" t="s">
        <v>303</v>
      </c>
      <c r="B143" s="8" t="s">
        <v>304</v>
      </c>
      <c r="C143" s="12"/>
      <c r="D143" s="12"/>
      <c r="E143" s="2"/>
      <c r="F143" s="2"/>
      <c r="G143" s="2" t="n">
        <v>200</v>
      </c>
      <c r="Q143" s="4" t="n">
        <f aca="false">SUM(E143:P143)</f>
        <v>200</v>
      </c>
    </row>
    <row r="144" customFormat="false" ht="15" hidden="false" customHeight="false" outlineLevel="0" collapsed="false">
      <c r="A144" s="8" t="s">
        <v>305</v>
      </c>
      <c r="B144" s="8" t="s">
        <v>306</v>
      </c>
      <c r="C144" s="12"/>
      <c r="D144" s="12"/>
      <c r="E144" s="2"/>
      <c r="F144" s="2"/>
      <c r="G144" s="2" t="n">
        <v>107</v>
      </c>
      <c r="H144" s="2" t="n">
        <v>24.95</v>
      </c>
      <c r="K144" s="2" t="n">
        <v>4300</v>
      </c>
      <c r="Q144" s="4" t="n">
        <f aca="false">SUM(E144:P144)</f>
        <v>4431.95</v>
      </c>
    </row>
    <row r="145" customFormat="false" ht="15" hidden="false" customHeight="false" outlineLevel="0" collapsed="false">
      <c r="A145" s="8" t="s">
        <v>307</v>
      </c>
      <c r="B145" s="8" t="s">
        <v>308</v>
      </c>
      <c r="C145" s="12" t="n">
        <v>500</v>
      </c>
      <c r="D145" s="16" t="n">
        <v>500</v>
      </c>
      <c r="K145" s="2" t="n">
        <v>1089.37</v>
      </c>
      <c r="N145" s="2" t="n">
        <v>2057.94</v>
      </c>
      <c r="O145" s="0" t="n">
        <v>551.66</v>
      </c>
      <c r="P145" s="2" t="n">
        <f aca="false">4973.97-3698.97</f>
        <v>1275</v>
      </c>
      <c r="Q145" s="4" t="n">
        <f aca="false">SUM(E145:P145)</f>
        <v>4973.97</v>
      </c>
    </row>
    <row r="146" customFormat="false" ht="15" hidden="false" customHeight="false" outlineLevel="0" collapsed="false">
      <c r="A146" s="8" t="s">
        <v>309</v>
      </c>
      <c r="B146" s="8" t="s">
        <v>310</v>
      </c>
      <c r="C146" s="12" t="n">
        <v>11000</v>
      </c>
      <c r="D146" s="16" t="n">
        <v>0</v>
      </c>
      <c r="M146" s="2" t="n">
        <v>140</v>
      </c>
      <c r="O146" s="2" t="n">
        <v>5</v>
      </c>
      <c r="Q146" s="4" t="n">
        <f aca="false">SUM(E146:P146)</f>
        <v>145</v>
      </c>
    </row>
    <row r="147" customFormat="false" ht="15" hidden="false" customHeight="false" outlineLevel="0" collapsed="false">
      <c r="A147" s="8" t="s">
        <v>311</v>
      </c>
      <c r="B147" s="8" t="s">
        <v>312</v>
      </c>
      <c r="C147" s="16"/>
      <c r="D147" s="16"/>
      <c r="O147" s="2"/>
      <c r="Q147" s="4" t="n">
        <f aca="false">SUM(E147:P147)</f>
        <v>0</v>
      </c>
    </row>
    <row r="148" customFormat="false" ht="15" hidden="false" customHeight="false" outlineLevel="0" collapsed="false">
      <c r="A148" s="8" t="s">
        <v>313</v>
      </c>
      <c r="B148" s="8" t="s">
        <v>314</v>
      </c>
      <c r="C148" s="12" t="n">
        <v>50</v>
      </c>
      <c r="D148" s="16" t="n">
        <v>50</v>
      </c>
      <c r="F148" s="2" t="n">
        <v>4</v>
      </c>
      <c r="G148" s="2" t="n">
        <v>2</v>
      </c>
      <c r="I148" s="2" t="n">
        <v>195.19</v>
      </c>
      <c r="K148" s="2" t="n">
        <v>1.75</v>
      </c>
      <c r="L148" s="2" t="n">
        <v>8.19</v>
      </c>
      <c r="M148" s="2" t="n">
        <v>15.25</v>
      </c>
      <c r="N148" s="2" t="n">
        <v>4.75</v>
      </c>
      <c r="O148" s="2" t="n">
        <v>4.5</v>
      </c>
      <c r="P148" s="2" t="n">
        <v>962.6</v>
      </c>
      <c r="Q148" s="4" t="n">
        <f aca="false">SUM(E148:P148)</f>
        <v>1198.23</v>
      </c>
    </row>
    <row r="149" customFormat="false" ht="15" hidden="false" customHeight="false" outlineLevel="0" collapsed="false">
      <c r="A149" s="8" t="s">
        <v>315</v>
      </c>
      <c r="B149" s="8" t="s">
        <v>316</v>
      </c>
      <c r="C149" s="12" t="n">
        <v>5000</v>
      </c>
      <c r="D149" s="12" t="n">
        <v>5000</v>
      </c>
      <c r="M149" s="2" t="n">
        <v>5369</v>
      </c>
      <c r="Q149" s="4" t="n">
        <f aca="false">SUM(E149:P149)</f>
        <v>5369</v>
      </c>
    </row>
    <row r="150" customFormat="false" ht="15" hidden="false" customHeight="false" outlineLevel="0" collapsed="false">
      <c r="A150" s="8" t="s">
        <v>317</v>
      </c>
      <c r="B150" s="8" t="s">
        <v>318</v>
      </c>
      <c r="C150" s="12" t="n">
        <v>25000</v>
      </c>
      <c r="D150" s="12" t="n">
        <v>25000</v>
      </c>
      <c r="I150" s="2" t="n">
        <v>10200.05</v>
      </c>
      <c r="P150" s="2" t="n">
        <v>12037.44</v>
      </c>
      <c r="Q150" s="4" t="n">
        <f aca="false">SUM(E150:P150)</f>
        <v>22237.49</v>
      </c>
    </row>
    <row r="151" customFormat="false" ht="15" hidden="false" customHeight="false" outlineLevel="0" collapsed="false">
      <c r="A151" s="8" t="s">
        <v>319</v>
      </c>
      <c r="B151" s="8" t="s">
        <v>320</v>
      </c>
      <c r="C151" s="16"/>
      <c r="D151" s="16" t="n">
        <v>22500</v>
      </c>
      <c r="P151" s="2" t="n">
        <v>30021.43</v>
      </c>
      <c r="Q151" s="4" t="n">
        <f aca="false">SUM(E151:P151)</f>
        <v>30021.43</v>
      </c>
    </row>
    <row r="152" customFormat="false" ht="15" hidden="false" customHeight="false" outlineLevel="0" collapsed="false">
      <c r="A152" s="8" t="s">
        <v>321</v>
      </c>
      <c r="B152" s="14" t="s">
        <v>322</v>
      </c>
      <c r="C152" s="16"/>
      <c r="D152" s="18" t="n">
        <v>1132</v>
      </c>
      <c r="P152" s="2" t="n">
        <v>10578.8</v>
      </c>
      <c r="Q152" s="4" t="n">
        <f aca="false">SUM(E152:P152)</f>
        <v>10578.8</v>
      </c>
    </row>
    <row r="153" customFormat="false" ht="15" hidden="false" customHeight="false" outlineLevel="0" collapsed="false">
      <c r="A153" s="8" t="s">
        <v>323</v>
      </c>
      <c r="B153" s="14" t="s">
        <v>324</v>
      </c>
      <c r="C153" s="16"/>
      <c r="D153" s="18" t="n">
        <v>6000</v>
      </c>
      <c r="O153" s="2" t="n">
        <v>6000</v>
      </c>
      <c r="Q153" s="4" t="n">
        <f aca="false">SUM(E153:P153)</f>
        <v>6000</v>
      </c>
    </row>
    <row r="154" customFormat="false" ht="15" hidden="false" customHeight="false" outlineLevel="0" collapsed="false">
      <c r="A154" s="8" t="s">
        <v>325</v>
      </c>
      <c r="B154" s="8" t="s">
        <v>194</v>
      </c>
      <c r="C154" s="16"/>
      <c r="D154" s="16" t="n">
        <v>11000</v>
      </c>
      <c r="L154" s="2" t="n">
        <v>1232</v>
      </c>
      <c r="M154" s="2"/>
      <c r="O154" s="2" t="n">
        <v>9338.8</v>
      </c>
      <c r="Q154" s="4" t="n">
        <f aca="false">SUM(E154:P154)</f>
        <v>10570.8</v>
      </c>
    </row>
    <row r="155" customFormat="false" ht="15" hidden="false" customHeight="false" outlineLevel="0" collapsed="false">
      <c r="A155" s="8"/>
      <c r="B155" s="14" t="s">
        <v>3</v>
      </c>
      <c r="C155" s="16" t="n">
        <f aca="false">SUM(C124:C154)</f>
        <v>1058300</v>
      </c>
      <c r="D155" s="16" t="n">
        <f aca="false">SUM(D124:D154)</f>
        <v>1074057.15</v>
      </c>
      <c r="E155" s="19" t="n">
        <f aca="false">SUM(E124:E154)</f>
        <v>332211.62</v>
      </c>
      <c r="F155" s="19" t="n">
        <f aca="false">SUM(F124:F154)</f>
        <v>1951.37</v>
      </c>
      <c r="G155" s="19" t="n">
        <f aca="false">SUM(G124:G154)</f>
        <v>5798.17</v>
      </c>
      <c r="H155" s="19" t="n">
        <f aca="false">SUM(H124:H154)</f>
        <v>181741.41</v>
      </c>
      <c r="I155" s="19" t="n">
        <f aca="false">SUM(I124:I154)</f>
        <v>98179.07</v>
      </c>
      <c r="J155" s="19" t="n">
        <f aca="false">SUM(J124:J154)</f>
        <v>25694.76</v>
      </c>
      <c r="K155" s="19" t="n">
        <f aca="false">SUM(K124:K154)</f>
        <v>224770.47</v>
      </c>
      <c r="L155" s="19" t="n">
        <f aca="false">SUM(L124:L154)</f>
        <v>31743.5</v>
      </c>
      <c r="M155" s="19" t="n">
        <f aca="false">SUM(M124:M154)</f>
        <v>30497.62</v>
      </c>
      <c r="N155" s="19" t="n">
        <f aca="false">SUM(N124:N154)</f>
        <v>217675.56</v>
      </c>
      <c r="O155" s="19" t="n">
        <f aca="false">SUM(O124:O154)</f>
        <v>4666.66</v>
      </c>
      <c r="P155" s="19" t="n">
        <f aca="false">SUM(P124:P154)</f>
        <v>55681.11</v>
      </c>
      <c r="Q155" s="19" t="n">
        <f aca="false">SUM(Q124:Q154)</f>
        <v>1210611.32</v>
      </c>
    </row>
    <row r="156" customFormat="false" ht="15" hidden="false" customHeight="false" outlineLevel="0" collapsed="false">
      <c r="B156" s="14" t="s">
        <v>326</v>
      </c>
      <c r="C156" s="16"/>
    </row>
    <row r="157" customFormat="false" ht="15" hidden="false" customHeight="false" outlineLevel="0" collapsed="false">
      <c r="A157" s="8" t="s">
        <v>327</v>
      </c>
      <c r="B157" s="8" t="s">
        <v>328</v>
      </c>
      <c r="C157" s="16" t="n">
        <v>144616</v>
      </c>
      <c r="D157" s="16" t="n">
        <v>144616</v>
      </c>
      <c r="I157" s="2" t="n">
        <v>18273.58</v>
      </c>
      <c r="J157" s="2" t="n">
        <v>29089.33</v>
      </c>
      <c r="K157" s="2" t="n">
        <v>16091.29</v>
      </c>
      <c r="L157" s="2" t="n">
        <f aca="false">8927.18+9288.21</f>
        <v>18215.39</v>
      </c>
      <c r="M157" s="2" t="n">
        <v>19066.7</v>
      </c>
      <c r="N157" s="2" t="n">
        <v>18030.21</v>
      </c>
      <c r="O157" s="2" t="n">
        <v>21020.49</v>
      </c>
      <c r="Q157" s="4" t="n">
        <f aca="false">SUM(E157:P157)</f>
        <v>139786.99</v>
      </c>
    </row>
    <row r="158" customFormat="false" ht="15" hidden="false" customHeight="false" outlineLevel="0" collapsed="false">
      <c r="A158" s="8" t="s">
        <v>329</v>
      </c>
      <c r="B158" s="8" t="s">
        <v>330</v>
      </c>
      <c r="C158" s="16" t="n">
        <v>2500</v>
      </c>
      <c r="D158" s="16"/>
      <c r="Q158" s="4" t="n">
        <f aca="false">SUM(E158:P158)</f>
        <v>0</v>
      </c>
    </row>
    <row r="159" customFormat="false" ht="15" hidden="false" customHeight="false" outlineLevel="0" collapsed="false">
      <c r="A159" s="8" t="s">
        <v>331</v>
      </c>
      <c r="B159" s="8" t="s">
        <v>332</v>
      </c>
      <c r="C159" s="16" t="n">
        <v>95000</v>
      </c>
      <c r="D159" s="16" t="n">
        <v>95000</v>
      </c>
      <c r="I159" s="2" t="n">
        <v>3516.87</v>
      </c>
      <c r="J159" s="2" t="n">
        <v>15410.29</v>
      </c>
      <c r="K159" s="2" t="n">
        <v>3491.3</v>
      </c>
      <c r="L159" s="2" t="n">
        <v>6209.64</v>
      </c>
      <c r="M159" s="2" t="n">
        <v>17653.3</v>
      </c>
      <c r="N159" s="2" t="n">
        <v>195.05</v>
      </c>
      <c r="O159" s="2" t="n">
        <v>1326.64</v>
      </c>
      <c r="P159" s="2" t="n">
        <f aca="false">9457.49-7803.09</f>
        <v>1654.4</v>
      </c>
      <c r="Q159" s="4" t="n">
        <f aca="false">SUM(E159:P159)</f>
        <v>49457.49</v>
      </c>
    </row>
    <row r="160" customFormat="false" ht="15" hidden="false" customHeight="false" outlineLevel="0" collapsed="false">
      <c r="A160" s="8" t="s">
        <v>333</v>
      </c>
      <c r="B160" s="14" t="s">
        <v>334</v>
      </c>
      <c r="C160" s="16" t="n">
        <v>77302</v>
      </c>
      <c r="D160" s="16" t="n">
        <v>77302</v>
      </c>
      <c r="G160" s="2" t="n">
        <v>-32844.02</v>
      </c>
      <c r="L160" s="2" t="n">
        <f aca="false">14578.45</f>
        <v>14578.45</v>
      </c>
      <c r="M160" s="2" t="n">
        <v>21921.48</v>
      </c>
      <c r="P160" s="2" t="n">
        <f aca="false">36500.93-3655.91</f>
        <v>32845.02</v>
      </c>
      <c r="Q160" s="4" t="n">
        <f aca="false">SUM(E160:P160)</f>
        <v>36500.93</v>
      </c>
    </row>
    <row r="161" customFormat="false" ht="15" hidden="false" customHeight="false" outlineLevel="0" collapsed="false">
      <c r="A161" s="8" t="s">
        <v>335</v>
      </c>
      <c r="B161" s="8" t="s">
        <v>336</v>
      </c>
      <c r="C161" s="16" t="n">
        <v>25000</v>
      </c>
      <c r="D161" s="16" t="n">
        <v>25000</v>
      </c>
      <c r="L161" s="2" t="n">
        <v>9650</v>
      </c>
      <c r="Q161" s="4" t="n">
        <f aca="false">SUM(E161:P161)</f>
        <v>9650</v>
      </c>
    </row>
    <row r="162" customFormat="false" ht="15" hidden="false" customHeight="false" outlineLevel="0" collapsed="false">
      <c r="A162" s="8" t="s">
        <v>337</v>
      </c>
      <c r="B162" s="8" t="s">
        <v>338</v>
      </c>
      <c r="C162" s="16" t="n">
        <v>0</v>
      </c>
      <c r="D162" s="16" t="n">
        <v>50000</v>
      </c>
      <c r="J162" s="2"/>
      <c r="K162" s="2" t="n">
        <v>65.06</v>
      </c>
      <c r="L162" s="0" t="n">
        <v>-65.06</v>
      </c>
      <c r="Q162" s="4" t="n">
        <f aca="false">SUM(E162:P162)</f>
        <v>0</v>
      </c>
    </row>
    <row r="163" customFormat="false" ht="15" hidden="false" customHeight="false" outlineLevel="0" collapsed="false">
      <c r="A163" s="8" t="s">
        <v>339</v>
      </c>
      <c r="B163" s="8" t="s">
        <v>340</v>
      </c>
      <c r="C163" s="16" t="n">
        <v>80000</v>
      </c>
      <c r="D163" s="16" t="n">
        <v>80000</v>
      </c>
      <c r="E163" s="2" t="n">
        <v>998.5</v>
      </c>
      <c r="F163" s="2" t="n">
        <v>4221.49</v>
      </c>
      <c r="G163" s="2" t="n">
        <v>13163.68</v>
      </c>
      <c r="H163" s="2" t="n">
        <v>9489.46</v>
      </c>
      <c r="I163" s="2" t="n">
        <v>4162.16</v>
      </c>
      <c r="J163" s="2" t="n">
        <v>6413.68</v>
      </c>
      <c r="K163" s="2" t="n">
        <v>5247.53</v>
      </c>
      <c r="L163" s="2" t="n">
        <f aca="false">739.22+1300+113.73</f>
        <v>2152.95</v>
      </c>
      <c r="M163" s="2" t="n">
        <v>1607.7</v>
      </c>
      <c r="N163" s="2" t="n">
        <v>1717.83</v>
      </c>
      <c r="O163" s="2" t="n">
        <v>5322.19</v>
      </c>
      <c r="P163" s="2" t="n">
        <v>15152.97</v>
      </c>
      <c r="Q163" s="4" t="n">
        <f aca="false">SUM(E163:P163)</f>
        <v>69650.14</v>
      </c>
    </row>
    <row r="164" customFormat="false" ht="15" hidden="false" customHeight="false" outlineLevel="0" collapsed="false">
      <c r="A164" s="8" t="s">
        <v>341</v>
      </c>
      <c r="B164" s="8" t="s">
        <v>342</v>
      </c>
      <c r="C164" s="16" t="n">
        <v>145656</v>
      </c>
      <c r="D164" s="16" t="n">
        <v>145656</v>
      </c>
      <c r="E164" s="2" t="n">
        <v>38693.44</v>
      </c>
      <c r="F164" s="2" t="n">
        <v>26560.11</v>
      </c>
      <c r="G164" s="2" t="n">
        <v>22574.38</v>
      </c>
      <c r="H164" s="2" t="n">
        <v>20606.86</v>
      </c>
      <c r="O164" s="2" t="n">
        <v>12298.88</v>
      </c>
      <c r="P164" s="2" t="n">
        <f aca="false">46732.93-20733.67</f>
        <v>25999.26</v>
      </c>
      <c r="Q164" s="4" t="n">
        <f aca="false">SUM(E164:P164)</f>
        <v>146732.93</v>
      </c>
    </row>
    <row r="165" customFormat="false" ht="15" hidden="false" customHeight="false" outlineLevel="0" collapsed="false">
      <c r="A165" s="8" t="s">
        <v>343</v>
      </c>
      <c r="B165" s="8" t="s">
        <v>344</v>
      </c>
      <c r="C165" s="16" t="n">
        <v>5000</v>
      </c>
      <c r="D165" s="16" t="n">
        <v>5000</v>
      </c>
      <c r="E165" s="2"/>
      <c r="O165" s="2" t="n">
        <v>311</v>
      </c>
      <c r="Q165" s="4" t="n">
        <f aca="false">SUM(E165:P165)</f>
        <v>311</v>
      </c>
    </row>
    <row r="166" customFormat="false" ht="15" hidden="false" customHeight="false" outlineLevel="0" collapsed="false">
      <c r="A166" s="8" t="s">
        <v>345</v>
      </c>
      <c r="B166" s="8" t="s">
        <v>346</v>
      </c>
      <c r="C166" s="16" t="n">
        <v>75000</v>
      </c>
      <c r="D166" s="16" t="n">
        <v>75000</v>
      </c>
      <c r="E166" s="2" t="n">
        <v>2770.33</v>
      </c>
      <c r="F166" s="2" t="n">
        <v>16870.18</v>
      </c>
      <c r="G166" s="2" t="n">
        <v>3840.61</v>
      </c>
      <c r="H166" s="2" t="n">
        <v>7092.41</v>
      </c>
      <c r="I166" s="2" t="s">
        <v>347</v>
      </c>
      <c r="N166" s="2" t="n">
        <v>540</v>
      </c>
      <c r="P166" s="2" t="n">
        <v>39354.4</v>
      </c>
      <c r="Q166" s="4" t="n">
        <f aca="false">SUM(E166:P166)</f>
        <v>70467.93</v>
      </c>
    </row>
    <row r="167" customFormat="false" ht="15" hidden="false" customHeight="false" outlineLevel="0" collapsed="false">
      <c r="A167" s="8" t="s">
        <v>348</v>
      </c>
      <c r="B167" s="8" t="s">
        <v>349</v>
      </c>
      <c r="C167" s="16" t="n">
        <v>500</v>
      </c>
      <c r="D167" s="16" t="n">
        <v>500</v>
      </c>
      <c r="Q167" s="4" t="n">
        <f aca="false">SUM(E167:P167)</f>
        <v>0</v>
      </c>
    </row>
    <row r="168" customFormat="false" ht="15" hidden="false" customHeight="false" outlineLevel="0" collapsed="false">
      <c r="A168" s="8" t="s">
        <v>350</v>
      </c>
      <c r="B168" s="8" t="s">
        <v>242</v>
      </c>
      <c r="C168" s="16" t="n">
        <v>33600</v>
      </c>
      <c r="D168" s="16" t="n">
        <v>33600</v>
      </c>
      <c r="O168" s="2" t="n">
        <v>40052.8</v>
      </c>
      <c r="Q168" s="4" t="n">
        <f aca="false">SUM(E168:P168)</f>
        <v>40052.8</v>
      </c>
    </row>
    <row r="169" customFormat="false" ht="15" hidden="false" customHeight="false" outlineLevel="0" collapsed="false">
      <c r="A169" s="8" t="s">
        <v>351</v>
      </c>
      <c r="B169" s="8" t="s">
        <v>352</v>
      </c>
      <c r="C169" s="16" t="n">
        <v>22500</v>
      </c>
      <c r="D169" s="16" t="n">
        <v>22500</v>
      </c>
      <c r="E169" s="2" t="n">
        <v>2960.09</v>
      </c>
      <c r="F169" s="2" t="n">
        <v>2031.86</v>
      </c>
      <c r="G169" s="2" t="n">
        <v>1726.98</v>
      </c>
      <c r="H169" s="2" t="n">
        <v>1576.48</v>
      </c>
      <c r="I169" s="2" t="n">
        <v>1397.96</v>
      </c>
      <c r="J169" s="2" t="n">
        <v>2225.33</v>
      </c>
      <c r="K169" s="2" t="n">
        <v>1230.97</v>
      </c>
      <c r="L169" s="2" t="n">
        <f aca="false">682.93+710.52</f>
        <v>1393.45</v>
      </c>
      <c r="M169" s="2" t="n">
        <v>1458.62</v>
      </c>
      <c r="N169" s="2" t="n">
        <v>1379.3</v>
      </c>
      <c r="O169" s="2" t="n">
        <v>2572.78</v>
      </c>
      <c r="P169" s="2" t="n">
        <v>1988.93</v>
      </c>
      <c r="Q169" s="4" t="n">
        <f aca="false">SUM(E169:P169)</f>
        <v>21942.75</v>
      </c>
    </row>
    <row r="170" customFormat="false" ht="15" hidden="false" customHeight="false" outlineLevel="0" collapsed="false">
      <c r="A170" s="8" t="s">
        <v>353</v>
      </c>
      <c r="B170" s="8" t="s">
        <v>246</v>
      </c>
      <c r="C170" s="16" t="n">
        <v>6000</v>
      </c>
      <c r="D170" s="16" t="n">
        <v>6000</v>
      </c>
      <c r="E170" s="2"/>
      <c r="F170" s="2" t="n">
        <v>6000</v>
      </c>
      <c r="Q170" s="4" t="n">
        <f aca="false">SUM(E170:P170)</f>
        <v>6000</v>
      </c>
    </row>
    <row r="171" customFormat="false" ht="15" hidden="false" customHeight="false" outlineLevel="0" collapsed="false">
      <c r="A171" s="8" t="s">
        <v>354</v>
      </c>
      <c r="B171" s="8" t="s">
        <v>248</v>
      </c>
      <c r="C171" s="16" t="n">
        <v>4000</v>
      </c>
      <c r="D171" s="16" t="n">
        <v>4000</v>
      </c>
      <c r="E171" s="2"/>
      <c r="Q171" s="4" t="n">
        <f aca="false">SUM(E171:P171)</f>
        <v>0</v>
      </c>
    </row>
    <row r="172" customFormat="false" ht="15" hidden="false" customHeight="false" outlineLevel="0" collapsed="false">
      <c r="A172" s="8" t="s">
        <v>355</v>
      </c>
      <c r="B172" s="8" t="s">
        <v>252</v>
      </c>
      <c r="C172" s="16" t="n">
        <v>200</v>
      </c>
      <c r="D172" s="16" t="n">
        <v>200</v>
      </c>
      <c r="E172" s="2" t="n">
        <v>718.5</v>
      </c>
      <c r="Q172" s="4" t="n">
        <f aca="false">SUM(E172:P172)</f>
        <v>718.5</v>
      </c>
    </row>
    <row r="173" customFormat="false" ht="15" hidden="false" customHeight="false" outlineLevel="0" collapsed="false">
      <c r="A173" s="8" t="s">
        <v>356</v>
      </c>
      <c r="B173" s="8" t="s">
        <v>254</v>
      </c>
      <c r="C173" s="16" t="n">
        <v>106000</v>
      </c>
      <c r="D173" s="16" t="n">
        <v>106000</v>
      </c>
      <c r="E173" s="2" t="n">
        <v>10004.98</v>
      </c>
      <c r="F173" s="2" t="n">
        <v>9768.01</v>
      </c>
      <c r="G173" s="2" t="n">
        <v>9668.01</v>
      </c>
      <c r="H173" s="2" t="n">
        <v>9980.01</v>
      </c>
      <c r="I173" s="2" t="n">
        <v>9668.01</v>
      </c>
      <c r="J173" s="2" t="n">
        <v>8373.27</v>
      </c>
      <c r="K173" s="2" t="n">
        <v>28914.24</v>
      </c>
      <c r="L173" s="2" t="n">
        <v>11049.46</v>
      </c>
      <c r="M173" s="2" t="n">
        <v>8373.27</v>
      </c>
      <c r="N173" s="2" t="n">
        <v>8373.27</v>
      </c>
      <c r="O173" s="2" t="n">
        <v>1721.2</v>
      </c>
      <c r="P173" s="2" t="n">
        <v>19808.71</v>
      </c>
      <c r="Q173" s="4" t="n">
        <f aca="false">SUM(E173:P173)</f>
        <v>135702.44</v>
      </c>
    </row>
    <row r="174" customFormat="false" ht="15" hidden="false" customHeight="false" outlineLevel="0" collapsed="false">
      <c r="A174" s="8" t="s">
        <v>357</v>
      </c>
      <c r="B174" s="8" t="s">
        <v>358</v>
      </c>
      <c r="C174" s="16" t="n">
        <v>500</v>
      </c>
      <c r="D174" s="16" t="n">
        <v>500</v>
      </c>
      <c r="E174" s="2" t="n">
        <v>31</v>
      </c>
      <c r="G174" s="2" t="n">
        <f aca="false">90+120</f>
        <v>210</v>
      </c>
      <c r="L174" s="2" t="n">
        <v>90</v>
      </c>
      <c r="O174" s="2" t="n">
        <v>120</v>
      </c>
      <c r="P174" s="2" t="n">
        <v>44</v>
      </c>
      <c r="Q174" s="4" t="n">
        <f aca="false">SUM(E174:P174)</f>
        <v>495</v>
      </c>
    </row>
    <row r="175" customFormat="false" ht="15" hidden="false" customHeight="false" outlineLevel="0" collapsed="false">
      <c r="A175" s="8" t="s">
        <v>359</v>
      </c>
      <c r="B175" s="8" t="s">
        <v>360</v>
      </c>
      <c r="C175" s="16" t="n">
        <v>7500</v>
      </c>
      <c r="D175" s="16" t="n">
        <v>7500</v>
      </c>
      <c r="E175" s="2" t="n">
        <v>819.6</v>
      </c>
      <c r="G175" s="2" t="n">
        <v>1263.01</v>
      </c>
      <c r="H175" s="2" t="n">
        <v>79.95</v>
      </c>
      <c r="L175" s="2" t="n">
        <f aca="false">303.09</f>
        <v>303.09</v>
      </c>
      <c r="M175" s="0" t="n">
        <v>33.9</v>
      </c>
      <c r="O175" s="0" t="s">
        <v>107</v>
      </c>
      <c r="P175" s="2" t="n">
        <v>1736.99</v>
      </c>
      <c r="Q175" s="4" t="n">
        <f aca="false">SUM(E175:P175)</f>
        <v>4236.54</v>
      </c>
    </row>
    <row r="176" customFormat="false" ht="15" hidden="false" customHeight="false" outlineLevel="0" collapsed="false">
      <c r="A176" s="8" t="s">
        <v>361</v>
      </c>
      <c r="B176" s="8" t="s">
        <v>362</v>
      </c>
      <c r="C176" s="16" t="n">
        <v>18400</v>
      </c>
      <c r="D176" s="16" t="n">
        <v>18400</v>
      </c>
      <c r="Q176" s="4" t="n">
        <f aca="false">SUM(E176:P176)</f>
        <v>0</v>
      </c>
    </row>
    <row r="177" customFormat="false" ht="15" hidden="false" customHeight="false" outlineLevel="0" collapsed="false">
      <c r="A177" s="8" t="s">
        <v>363</v>
      </c>
      <c r="B177" s="8" t="s">
        <v>364</v>
      </c>
      <c r="C177" s="16" t="n">
        <v>22000</v>
      </c>
      <c r="D177" s="16" t="n">
        <v>22000</v>
      </c>
      <c r="M177" s="2" t="n">
        <v>22000</v>
      </c>
      <c r="Q177" s="4" t="n">
        <f aca="false">SUM(E177:P177)</f>
        <v>22000</v>
      </c>
    </row>
    <row r="178" customFormat="false" ht="15" hidden="false" customHeight="false" outlineLevel="0" collapsed="false">
      <c r="A178" s="8" t="s">
        <v>365</v>
      </c>
      <c r="B178" s="8" t="s">
        <v>366</v>
      </c>
      <c r="C178" s="16" t="n">
        <v>2000</v>
      </c>
      <c r="D178" s="16" t="n">
        <v>600</v>
      </c>
      <c r="Q178" s="4" t="n">
        <f aca="false">SUM(E178:P178)</f>
        <v>0</v>
      </c>
    </row>
    <row r="179" customFormat="false" ht="15" hidden="false" customHeight="false" outlineLevel="0" collapsed="false">
      <c r="A179" s="8" t="s">
        <v>367</v>
      </c>
      <c r="B179" s="8" t="s">
        <v>368</v>
      </c>
      <c r="C179" s="16" t="n">
        <v>0</v>
      </c>
      <c r="D179" s="16" t="n">
        <v>1000</v>
      </c>
      <c r="M179" s="0" t="n">
        <v>933.68</v>
      </c>
      <c r="Q179" s="4" t="n">
        <f aca="false">SUM(E179:P179)</f>
        <v>933.68</v>
      </c>
    </row>
    <row r="180" customFormat="false" ht="15" hidden="false" customHeight="false" outlineLevel="0" collapsed="false">
      <c r="A180" s="8" t="s">
        <v>369</v>
      </c>
      <c r="B180" s="8" t="s">
        <v>370</v>
      </c>
      <c r="C180" s="16" t="n">
        <v>50000</v>
      </c>
      <c r="D180" s="16" t="n">
        <v>100000</v>
      </c>
      <c r="F180" s="2" t="n">
        <v>50000</v>
      </c>
      <c r="Q180" s="4" t="n">
        <f aca="false">SUM(E180:P180)</f>
        <v>50000</v>
      </c>
    </row>
    <row r="181" customFormat="false" ht="15" hidden="false" customHeight="false" outlineLevel="0" collapsed="false">
      <c r="A181" s="8"/>
      <c r="B181" s="14" t="s">
        <v>3</v>
      </c>
      <c r="C181" s="16" t="n">
        <f aca="false">SUM(C157:C180)</f>
        <v>923274</v>
      </c>
      <c r="D181" s="16" t="n">
        <f aca="false">SUM(D157:D180)</f>
        <v>1020374</v>
      </c>
      <c r="E181" s="5" t="n">
        <f aca="false">SUM(E157:E180)</f>
        <v>56996.44</v>
      </c>
      <c r="F181" s="5" t="n">
        <f aca="false">SUM(F157:F180)</f>
        <v>115451.65</v>
      </c>
      <c r="G181" s="5" t="n">
        <f aca="false">SUM(G157:G180)</f>
        <v>19602.65</v>
      </c>
      <c r="H181" s="5" t="n">
        <f aca="false">SUM(H157:H180)</f>
        <v>48825.17</v>
      </c>
      <c r="I181" s="5" t="n">
        <f aca="false">SUM(I157:I180)</f>
        <v>37018.58</v>
      </c>
      <c r="J181" s="5" t="n">
        <f aca="false">SUM(J157:J180)</f>
        <v>61511.9</v>
      </c>
      <c r="K181" s="5" t="n">
        <f aca="false">SUM(K157:K180)</f>
        <v>55040.39</v>
      </c>
      <c r="L181" s="5" t="n">
        <f aca="false">SUM(L157:L180)</f>
        <v>63577.37</v>
      </c>
      <c r="M181" s="5" t="n">
        <f aca="false">SUM(M157:M180)</f>
        <v>93048.65</v>
      </c>
      <c r="N181" s="5" t="n">
        <f aca="false">SUM(N157:N180)</f>
        <v>30235.66</v>
      </c>
      <c r="O181" s="5" t="n">
        <f aca="false">SUM(O157:O180)</f>
        <v>84745.98</v>
      </c>
      <c r="P181" s="5" t="n">
        <f aca="false">SUM(P157:P180)</f>
        <v>138584.68</v>
      </c>
      <c r="Q181" s="5" t="n">
        <f aca="false">SUM(Q157:Q180)</f>
        <v>804639.12</v>
      </c>
    </row>
    <row r="182" customFormat="false" ht="15" hidden="false" customHeight="false" outlineLevel="0" collapsed="false">
      <c r="B182" s="14" t="s">
        <v>371</v>
      </c>
      <c r="C182" s="16"/>
    </row>
    <row r="183" customFormat="false" ht="15" hidden="false" customHeight="false" outlineLevel="0" collapsed="false">
      <c r="A183" s="8" t="s">
        <v>372</v>
      </c>
      <c r="B183" s="8" t="s">
        <v>266</v>
      </c>
      <c r="C183" s="16" t="n">
        <v>598389</v>
      </c>
      <c r="D183" s="16" t="n">
        <v>601514.75</v>
      </c>
      <c r="E183" s="2" t="n">
        <v>601514.75</v>
      </c>
      <c r="Q183" s="4" t="n">
        <f aca="false">SUM(E183:P183)</f>
        <v>601514.75</v>
      </c>
    </row>
    <row r="184" customFormat="false" ht="15" hidden="false" customHeight="false" outlineLevel="0" collapsed="false">
      <c r="A184" s="8" t="s">
        <v>373</v>
      </c>
      <c r="B184" s="8" t="s">
        <v>349</v>
      </c>
      <c r="C184" s="16" t="n">
        <v>25750</v>
      </c>
      <c r="D184" s="16" t="n">
        <v>25750</v>
      </c>
      <c r="I184" s="2" t="n">
        <v>25500</v>
      </c>
      <c r="Q184" s="4" t="n">
        <f aca="false">SUM(E184:P184)</f>
        <v>25500</v>
      </c>
    </row>
    <row r="185" customFormat="false" ht="15" hidden="false" customHeight="false" outlineLevel="0" collapsed="false">
      <c r="A185" s="8" t="s">
        <v>374</v>
      </c>
      <c r="B185" s="8" t="s">
        <v>375</v>
      </c>
      <c r="C185" s="16" t="n">
        <v>1300</v>
      </c>
      <c r="D185" s="16" t="n">
        <v>100</v>
      </c>
      <c r="E185" s="2" t="n">
        <v>0.02</v>
      </c>
      <c r="F185" s="2" t="n">
        <v>5.98</v>
      </c>
      <c r="G185" s="2" t="n">
        <v>24.48</v>
      </c>
      <c r="H185" s="2" t="n">
        <v>19.55</v>
      </c>
      <c r="I185" s="2" t="n">
        <v>20.14</v>
      </c>
      <c r="J185" s="2" t="n">
        <v>18.49</v>
      </c>
      <c r="K185" s="2" t="n">
        <v>18.09</v>
      </c>
      <c r="L185" s="2" t="n">
        <v>17.06</v>
      </c>
      <c r="M185" s="2" t="n">
        <v>15.39</v>
      </c>
      <c r="N185" s="2" t="n">
        <v>14.59</v>
      </c>
      <c r="P185" s="2" t="n">
        <f aca="false">78.33-53.79</f>
        <v>24.54</v>
      </c>
      <c r="Q185" s="4" t="n">
        <f aca="false">SUM(E185:P185)</f>
        <v>178.33</v>
      </c>
    </row>
    <row r="186" customFormat="false" ht="15" hidden="false" customHeight="false" outlineLevel="0" collapsed="false">
      <c r="A186" s="8" t="s">
        <v>376</v>
      </c>
      <c r="B186" s="8" t="s">
        <v>377</v>
      </c>
      <c r="C186" s="8"/>
      <c r="D186" s="16"/>
      <c r="E186" s="2"/>
      <c r="F186" s="2"/>
      <c r="G186" s="2"/>
      <c r="H186" s="2"/>
      <c r="I186" s="2"/>
      <c r="J186" s="2"/>
      <c r="K186" s="2"/>
      <c r="L186" s="2"/>
      <c r="M186" s="2"/>
      <c r="N186" s="2"/>
      <c r="P186" s="2" t="n">
        <v>3586.23</v>
      </c>
      <c r="Q186" s="4" t="n">
        <f aca="false">SUM(E186:P186)</f>
        <v>3586.23</v>
      </c>
    </row>
    <row r="187" customFormat="false" ht="15" hidden="false" customHeight="false" outlineLevel="0" collapsed="false">
      <c r="A187" s="8" t="s">
        <v>378</v>
      </c>
      <c r="B187" s="8" t="s">
        <v>304</v>
      </c>
      <c r="C187" s="16" t="n">
        <v>0</v>
      </c>
      <c r="P187" s="2" t="n">
        <v>83</v>
      </c>
      <c r="Q187" s="4" t="n">
        <f aca="false">SUM(E187:P187)</f>
        <v>83</v>
      </c>
    </row>
    <row r="188" customFormat="false" ht="15" hidden="false" customHeight="false" outlineLevel="0" collapsed="false">
      <c r="A188" s="8" t="s">
        <v>379</v>
      </c>
      <c r="B188" s="8" t="s">
        <v>314</v>
      </c>
      <c r="C188" s="16"/>
      <c r="J188" s="2" t="n">
        <v>763.5</v>
      </c>
      <c r="K188" s="2" t="n">
        <v>613.95</v>
      </c>
      <c r="L188" s="2" t="n">
        <v>337.95</v>
      </c>
      <c r="M188" s="2" t="n">
        <v>229</v>
      </c>
      <c r="Q188" s="4" t="n">
        <f aca="false">SUM(E188:P188)</f>
        <v>1944.4</v>
      </c>
    </row>
    <row r="189" customFormat="false" ht="15" hidden="false" customHeight="false" outlineLevel="0" collapsed="false">
      <c r="A189" s="8" t="s">
        <v>380</v>
      </c>
      <c r="B189" s="8" t="s">
        <v>381</v>
      </c>
      <c r="C189" s="16" t="n">
        <v>77302</v>
      </c>
      <c r="D189" s="16" t="n">
        <v>77302</v>
      </c>
      <c r="P189" s="2" t="n">
        <v>36500.94</v>
      </c>
      <c r="Q189" s="4" t="n">
        <f aca="false">SUM(E189:P189)</f>
        <v>36500.94</v>
      </c>
    </row>
    <row r="190" customFormat="false" ht="15" hidden="false" customHeight="false" outlineLevel="0" collapsed="false">
      <c r="A190" s="8" t="s">
        <v>382</v>
      </c>
      <c r="B190" s="8" t="s">
        <v>383</v>
      </c>
      <c r="C190" s="16"/>
      <c r="D190" s="16"/>
      <c r="K190" s="2" t="n">
        <v>1972.68</v>
      </c>
      <c r="Q190" s="4" t="n">
        <f aca="false">SUM(E190:P190)</f>
        <v>1972.68</v>
      </c>
    </row>
    <row r="191" customFormat="false" ht="15" hidden="false" customHeight="false" outlineLevel="0" collapsed="false">
      <c r="A191" s="8" t="s">
        <v>384</v>
      </c>
      <c r="B191" s="8" t="s">
        <v>383</v>
      </c>
      <c r="C191" s="16" t="n">
        <v>0</v>
      </c>
      <c r="D191" s="16" t="n">
        <v>0</v>
      </c>
      <c r="I191" s="2" t="n">
        <v>11836.09</v>
      </c>
      <c r="K191" s="2"/>
      <c r="Q191" s="4" t="n">
        <f aca="false">SUM(E191:P191)</f>
        <v>11836.09</v>
      </c>
    </row>
    <row r="192" customFormat="false" ht="15" hidden="false" customHeight="false" outlineLevel="0" collapsed="false">
      <c r="A192" s="8"/>
      <c r="B192" s="14" t="s">
        <v>3</v>
      </c>
      <c r="C192" s="16" t="n">
        <f aca="false">SUM(C183:C191)</f>
        <v>702741</v>
      </c>
      <c r="D192" s="16" t="n">
        <f aca="false">SUM(D183:D191)</f>
        <v>704666.75</v>
      </c>
      <c r="E192" s="19" t="n">
        <f aca="false">SUM(E183:E191)</f>
        <v>601514.77</v>
      </c>
      <c r="F192" s="19" t="n">
        <f aca="false">SUM(F183:F191)</f>
        <v>5.98</v>
      </c>
      <c r="G192" s="19" t="n">
        <f aca="false">SUM(G183:G191)</f>
        <v>24.48</v>
      </c>
      <c r="H192" s="19" t="n">
        <f aca="false">SUM(H183:H191)</f>
        <v>19.55</v>
      </c>
      <c r="I192" s="19" t="n">
        <f aca="false">SUM(I183:I191)</f>
        <v>37356.23</v>
      </c>
      <c r="J192" s="19" t="n">
        <f aca="false">SUM(J183:J191)</f>
        <v>781.99</v>
      </c>
      <c r="K192" s="19" t="n">
        <f aca="false">SUM(K183:K191)</f>
        <v>2604.72</v>
      </c>
      <c r="L192" s="19" t="n">
        <f aca="false">SUM(L183:L191)</f>
        <v>355.01</v>
      </c>
      <c r="M192" s="19" t="n">
        <f aca="false">SUM(M183:M191)</f>
        <v>244.39</v>
      </c>
      <c r="N192" s="19" t="n">
        <f aca="false">SUM(N183:N191)</f>
        <v>14.59</v>
      </c>
      <c r="O192" s="19" t="n">
        <f aca="false">SUM(O183:O191)</f>
        <v>0</v>
      </c>
      <c r="P192" s="19" t="n">
        <f aca="false">SUM(P183:P191)</f>
        <v>40194.71</v>
      </c>
      <c r="Q192" s="19" t="n">
        <f aca="false">SUM(Q183:Q191)</f>
        <v>683116.42</v>
      </c>
    </row>
    <row r="193" customFormat="false" ht="15" hidden="false" customHeight="false" outlineLevel="0" collapsed="false">
      <c r="B193" s="14" t="s">
        <v>385</v>
      </c>
      <c r="C193" s="16"/>
    </row>
    <row r="194" customFormat="false" ht="15" hidden="false" customHeight="false" outlineLevel="0" collapsed="false">
      <c r="A194" s="8" t="s">
        <v>386</v>
      </c>
      <c r="B194" s="8" t="s">
        <v>387</v>
      </c>
      <c r="C194" s="16" t="n">
        <v>131456</v>
      </c>
      <c r="D194" s="16" t="n">
        <v>134085</v>
      </c>
      <c r="E194" s="16" t="n">
        <v>134085</v>
      </c>
      <c r="Q194" s="4" t="n">
        <f aca="false">SUM(E194:P194)</f>
        <v>134085</v>
      </c>
    </row>
    <row r="195" customFormat="false" ht="15" hidden="false" customHeight="false" outlineLevel="0" collapsed="false">
      <c r="A195" s="8" t="s">
        <v>388</v>
      </c>
      <c r="B195" s="8" t="s">
        <v>266</v>
      </c>
      <c r="C195" s="16" t="n">
        <v>131456</v>
      </c>
      <c r="D195" s="16" t="n">
        <v>134085</v>
      </c>
      <c r="E195" s="16" t="n">
        <v>134209.23</v>
      </c>
      <c r="F195" s="2" t="n">
        <v>0.28</v>
      </c>
      <c r="G195" s="2" t="n">
        <v>0.41</v>
      </c>
      <c r="H195" s="2" t="n">
        <v>0.19</v>
      </c>
      <c r="I195" s="2" t="n">
        <v>0.19</v>
      </c>
      <c r="J195" s="2" t="n">
        <v>0.3</v>
      </c>
      <c r="K195" s="2" t="n">
        <v>0.3</v>
      </c>
      <c r="L195" s="2" t="n">
        <v>0.23</v>
      </c>
      <c r="M195" s="2" t="n">
        <v>0.23</v>
      </c>
      <c r="N195" s="2" t="n">
        <v>0.18</v>
      </c>
      <c r="Q195" s="4" t="n">
        <f aca="false">SUM(E195:P195)</f>
        <v>134211.54</v>
      </c>
    </row>
    <row r="196" customFormat="false" ht="15" hidden="false" customHeight="false" outlineLevel="0" collapsed="false">
      <c r="B196" s="8"/>
    </row>
    <row r="197" customFormat="false" ht="15" hidden="false" customHeight="false" outlineLevel="0" collapsed="false">
      <c r="B197" s="20" t="s">
        <v>389</v>
      </c>
      <c r="C197" s="21" t="n">
        <f aca="false">C181+C194+C122</f>
        <v>2315921</v>
      </c>
      <c r="D197" s="21" t="n">
        <f aca="false">D181+D194+D122</f>
        <v>2478941</v>
      </c>
    </row>
  </sheetData>
  <mergeCells count="1">
    <mergeCell ref="A4:B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2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3" topLeftCell="P175" activePane="bottomRight" state="frozen"/>
      <selection pane="topLeft" activeCell="A1" activeCellId="0" sqref="A1"/>
      <selection pane="topRight" activeCell="P1" activeCellId="0" sqref="P1"/>
      <selection pane="bottomLeft" activeCell="A175" activeCellId="0" sqref="A175"/>
      <selection pane="bottomRight" activeCell="B207" activeCellId="0" sqref="B207"/>
    </sheetView>
  </sheetViews>
  <sheetFormatPr defaultRowHeight="1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6.71"/>
    <col collapsed="false" customWidth="true" hidden="false" outlineLevel="0" max="3" min="3" style="0" width="13.57"/>
    <col collapsed="false" customWidth="true" hidden="false" outlineLevel="0" max="6" min="4" style="0" width="11.71"/>
    <col collapsed="false" customWidth="true" hidden="false" outlineLevel="0" max="8" min="7" style="0" width="11.57"/>
    <col collapsed="false" customWidth="true" hidden="false" outlineLevel="0" max="9" min="9" style="0" width="10.58"/>
    <col collapsed="false" customWidth="true" hidden="false" outlineLevel="0" max="10" min="10" style="0" width="11.57"/>
    <col collapsed="false" customWidth="true" hidden="false" outlineLevel="0" max="11" min="11" style="0" width="10.58"/>
    <col collapsed="false" customWidth="true" hidden="false" outlineLevel="0" max="13" min="12" style="0" width="11.57"/>
    <col collapsed="false" customWidth="true" hidden="false" outlineLevel="0" max="14" min="14" style="0" width="11.29"/>
    <col collapsed="false" customWidth="true" hidden="false" outlineLevel="0" max="15" min="15" style="0" width="11.57"/>
    <col collapsed="false" customWidth="true" hidden="false" outlineLevel="0" max="16" min="16" style="0" width="13.29"/>
    <col collapsed="false" customWidth="true" hidden="false" outlineLevel="0" max="17" min="17" style="0" width="9.58"/>
    <col collapsed="false" customWidth="true" hidden="false" outlineLevel="0" max="18" min="18" style="0" width="13.29"/>
    <col collapsed="false" customWidth="true" hidden="false" outlineLevel="0" max="19" min="19" style="0" width="10.56"/>
    <col collapsed="false" customWidth="true" hidden="false" outlineLevel="0" max="20" min="20" style="0" width="14.28"/>
    <col collapsed="false" customWidth="true" hidden="false" outlineLevel="0" max="21" min="21" style="0" width="11.57"/>
    <col collapsed="false" customWidth="true" hidden="false" outlineLevel="0" max="22" min="22" style="0" width="14.28"/>
    <col collapsed="false" customWidth="true" hidden="false" outlineLevel="0" max="23" min="23" style="0" width="14.43"/>
    <col collapsed="false" customWidth="true" hidden="false" outlineLevel="0" max="24" min="24" style="0" width="10"/>
    <col collapsed="false" customWidth="true" hidden="false" outlineLevel="0" max="1025" min="25" style="0" width="8.67"/>
  </cols>
  <sheetData>
    <row r="1" customFormat="false" ht="15" hidden="false" customHeight="false" outlineLevel="0" collapsed="false">
      <c r="A1" s="8" t="s">
        <v>19</v>
      </c>
      <c r="R1" s="22" t="s">
        <v>390</v>
      </c>
    </row>
    <row r="2" customFormat="false" ht="15" hidden="false" customHeight="false" outlineLevel="0" collapsed="false">
      <c r="A2" s="8"/>
      <c r="C2" s="22" t="s">
        <v>390</v>
      </c>
      <c r="D2" s="8" t="s">
        <v>391</v>
      </c>
      <c r="E2" s="8" t="s">
        <v>392</v>
      </c>
      <c r="F2" s="8" t="s">
        <v>393</v>
      </c>
      <c r="G2" s="8" t="s">
        <v>394</v>
      </c>
      <c r="H2" s="8" t="s">
        <v>395</v>
      </c>
      <c r="I2" s="8" t="s">
        <v>396</v>
      </c>
      <c r="J2" s="8" t="s">
        <v>397</v>
      </c>
      <c r="K2" s="8" t="s">
        <v>398</v>
      </c>
      <c r="L2" s="8" t="s">
        <v>399</v>
      </c>
      <c r="M2" s="8" t="s">
        <v>400</v>
      </c>
      <c r="N2" s="8" t="s">
        <v>401</v>
      </c>
      <c r="O2" s="8" t="s">
        <v>402</v>
      </c>
      <c r="P2" s="9" t="s">
        <v>3</v>
      </c>
      <c r="R2" s="22" t="n">
        <v>2020</v>
      </c>
    </row>
    <row r="3" customFormat="false" ht="15" hidden="false" customHeight="false" outlineLevel="0" collapsed="false">
      <c r="B3" s="14" t="s">
        <v>32</v>
      </c>
      <c r="C3" s="22" t="n">
        <v>2019</v>
      </c>
      <c r="R3" s="23" t="s">
        <v>403</v>
      </c>
    </row>
    <row r="4" customFormat="false" ht="15" hidden="false" customHeight="false" outlineLevel="0" collapsed="false">
      <c r="A4" s="8" t="s">
        <v>265</v>
      </c>
      <c r="B4" s="8" t="s">
        <v>266</v>
      </c>
      <c r="C4" s="12" t="n">
        <v>157013</v>
      </c>
      <c r="D4" s="2" t="n">
        <v>158460.32</v>
      </c>
      <c r="P4" s="4" t="n">
        <f aca="false">SUM(D4:O4)</f>
        <v>158460.32</v>
      </c>
      <c r="R4" s="16" t="n">
        <v>0</v>
      </c>
      <c r="S4" s="0" t="n">
        <v>155152</v>
      </c>
    </row>
    <row r="5" customFormat="false" ht="15" hidden="false" customHeight="false" outlineLevel="0" collapsed="false">
      <c r="A5" s="8" t="s">
        <v>267</v>
      </c>
      <c r="B5" s="8" t="s">
        <v>268</v>
      </c>
      <c r="C5" s="12" t="n">
        <v>5800</v>
      </c>
      <c r="E5" s="2" t="n">
        <v>158.25</v>
      </c>
      <c r="F5" s="2" t="n">
        <v>1020.71</v>
      </c>
      <c r="G5" s="2" t="n">
        <v>3298.88</v>
      </c>
      <c r="H5" s="2" t="n">
        <v>31.8</v>
      </c>
      <c r="P5" s="4" t="n">
        <f aca="false">SUM(D5:O5)</f>
        <v>4509.64</v>
      </c>
      <c r="R5" s="16" t="n">
        <v>5000</v>
      </c>
    </row>
    <row r="6" customFormat="false" ht="15" hidden="false" customHeight="false" outlineLevel="0" collapsed="false">
      <c r="A6" s="8" t="s">
        <v>269</v>
      </c>
      <c r="B6" s="8" t="s">
        <v>270</v>
      </c>
      <c r="C6" s="12" t="n">
        <v>650000</v>
      </c>
      <c r="D6" s="2" t="n">
        <v>177433.42</v>
      </c>
      <c r="G6" s="2" t="n">
        <v>146665.15</v>
      </c>
      <c r="J6" s="2" t="n">
        <v>170008.58</v>
      </c>
      <c r="M6" s="2" t="n">
        <v>96526.88</v>
      </c>
      <c r="P6" s="4" t="n">
        <f aca="false">SUM(D6:O6)</f>
        <v>590634.03</v>
      </c>
      <c r="R6" s="16" t="n">
        <v>650000</v>
      </c>
    </row>
    <row r="7" customFormat="false" ht="15" hidden="false" customHeight="false" outlineLevel="0" collapsed="false">
      <c r="A7" s="8" t="s">
        <v>271</v>
      </c>
      <c r="B7" s="8" t="s">
        <v>272</v>
      </c>
      <c r="C7" s="12" t="n">
        <v>26000</v>
      </c>
      <c r="H7" s="2" t="n">
        <v>29230.4</v>
      </c>
      <c r="P7" s="4" t="n">
        <f aca="false">SUM(D7:O7)</f>
        <v>29230.4</v>
      </c>
      <c r="R7" s="16" t="n">
        <v>29000</v>
      </c>
    </row>
    <row r="8" customFormat="false" ht="15" hidden="false" customHeight="false" outlineLevel="0" collapsed="false">
      <c r="A8" s="8" t="s">
        <v>273</v>
      </c>
      <c r="B8" s="8" t="s">
        <v>274</v>
      </c>
      <c r="C8" s="12" t="n">
        <v>800</v>
      </c>
      <c r="D8" s="2" t="n">
        <f aca="false">133.98-18.58</f>
        <v>115.4</v>
      </c>
      <c r="E8" s="2" t="n">
        <v>18.56</v>
      </c>
      <c r="F8" s="2" t="n">
        <v>10</v>
      </c>
      <c r="G8" s="2" t="n">
        <v>31.38</v>
      </c>
      <c r="I8" s="2" t="n">
        <v>34.54</v>
      </c>
      <c r="J8" s="2" t="n">
        <v>41.79</v>
      </c>
      <c r="K8" s="2" t="n">
        <v>70.99</v>
      </c>
      <c r="L8" s="2" t="n">
        <v>116.83</v>
      </c>
      <c r="M8" s="2" t="n">
        <v>103.25</v>
      </c>
      <c r="N8" s="2" t="n">
        <v>36.02</v>
      </c>
      <c r="O8" s="2" t="n">
        <v>56.62</v>
      </c>
      <c r="P8" s="4" t="n">
        <f aca="false">SUM(D8:O8)</f>
        <v>635.38</v>
      </c>
      <c r="R8" s="16" t="n">
        <v>800</v>
      </c>
    </row>
    <row r="9" customFormat="false" ht="15" hidden="false" customHeight="false" outlineLevel="0" collapsed="false">
      <c r="A9" s="8" t="s">
        <v>275</v>
      </c>
      <c r="B9" s="8" t="s">
        <v>276</v>
      </c>
      <c r="C9" s="12" t="n">
        <v>135000</v>
      </c>
      <c r="F9" s="2" t="n">
        <v>920</v>
      </c>
      <c r="G9" s="2" t="n">
        <v>11665</v>
      </c>
      <c r="H9" s="2" t="n">
        <v>52012</v>
      </c>
      <c r="I9" s="2" t="n">
        <v>11355.5</v>
      </c>
      <c r="J9" s="2" t="n">
        <v>23327.5</v>
      </c>
      <c r="K9" s="2" t="n">
        <v>29699.5</v>
      </c>
      <c r="L9" s="2" t="n">
        <v>19140</v>
      </c>
      <c r="M9" s="2" t="n">
        <v>6257.25</v>
      </c>
      <c r="N9" s="2" t="n">
        <v>-20265.75</v>
      </c>
      <c r="P9" s="4" t="n">
        <f aca="false">SUM(D9:O9)</f>
        <v>134111</v>
      </c>
      <c r="R9" s="16" t="n">
        <v>135000</v>
      </c>
    </row>
    <row r="10" customFormat="false" ht="15" hidden="false" customHeight="false" outlineLevel="0" collapsed="false">
      <c r="A10" s="8" t="s">
        <v>277</v>
      </c>
      <c r="B10" s="8" t="s">
        <v>278</v>
      </c>
      <c r="C10" s="16" t="n">
        <v>100</v>
      </c>
      <c r="P10" s="4" t="n">
        <f aca="false">SUM(D10:O10)</f>
        <v>0</v>
      </c>
      <c r="R10" s="16" t="n">
        <v>100</v>
      </c>
    </row>
    <row r="11" customFormat="false" ht="15" hidden="false" customHeight="false" outlineLevel="0" collapsed="false">
      <c r="A11" s="8" t="s">
        <v>279</v>
      </c>
      <c r="B11" s="8" t="s">
        <v>280</v>
      </c>
      <c r="C11" s="12" t="n">
        <v>1000</v>
      </c>
      <c r="I11" s="2" t="n">
        <v>100</v>
      </c>
      <c r="K11" s="2" t="n">
        <v>100</v>
      </c>
      <c r="O11" s="2" t="n">
        <v>300</v>
      </c>
      <c r="P11" s="4" t="n">
        <f aca="false">SUM(D11:O11)</f>
        <v>500</v>
      </c>
      <c r="R11" s="16" t="n">
        <v>500</v>
      </c>
    </row>
    <row r="12" customFormat="false" ht="15" hidden="false" customHeight="false" outlineLevel="0" collapsed="false">
      <c r="A12" s="8" t="s">
        <v>281</v>
      </c>
      <c r="B12" s="8" t="s">
        <v>282</v>
      </c>
      <c r="C12" s="12" t="n">
        <v>150</v>
      </c>
      <c r="E12" s="2" t="n">
        <v>75</v>
      </c>
      <c r="G12" s="2" t="n">
        <v>100</v>
      </c>
      <c r="O12" s="2" t="n">
        <v>200</v>
      </c>
      <c r="P12" s="4" t="n">
        <f aca="false">SUM(D12:O12)</f>
        <v>375</v>
      </c>
      <c r="R12" s="16" t="n">
        <v>150</v>
      </c>
    </row>
    <row r="13" customFormat="false" ht="15" hidden="false" customHeight="false" outlineLevel="0" collapsed="false">
      <c r="A13" s="8" t="s">
        <v>283</v>
      </c>
      <c r="B13" s="8" t="s">
        <v>284</v>
      </c>
      <c r="C13" s="12" t="n">
        <v>16000</v>
      </c>
      <c r="E13" s="2" t="n">
        <v>75</v>
      </c>
      <c r="F13" s="2" t="n">
        <v>25</v>
      </c>
      <c r="G13" s="2" t="n">
        <v>1135</v>
      </c>
      <c r="H13" s="2" t="n">
        <v>5838.28</v>
      </c>
      <c r="I13" s="2" t="n">
        <v>4332</v>
      </c>
      <c r="J13" s="2" t="n">
        <v>2545</v>
      </c>
      <c r="K13" s="2" t="n">
        <v>1990</v>
      </c>
      <c r="L13" s="2" t="n">
        <v>1105</v>
      </c>
      <c r="M13" s="2" t="n">
        <v>545</v>
      </c>
      <c r="N13" s="2" t="n">
        <v>205</v>
      </c>
      <c r="O13" s="2" t="n">
        <v>140</v>
      </c>
      <c r="P13" s="4" t="n">
        <f aca="false">SUM(D13:O13)</f>
        <v>17935.28</v>
      </c>
      <c r="R13" s="16" t="n">
        <v>17000</v>
      </c>
    </row>
    <row r="14" customFormat="false" ht="15" hidden="false" customHeight="false" outlineLevel="0" collapsed="false">
      <c r="A14" s="8" t="s">
        <v>285</v>
      </c>
      <c r="B14" s="8" t="s">
        <v>286</v>
      </c>
      <c r="C14" s="12" t="n">
        <v>200</v>
      </c>
      <c r="D14" s="2" t="n">
        <f aca="false">573.91-414.89</f>
        <v>159.02</v>
      </c>
      <c r="E14" s="2" t="n">
        <v>414.89</v>
      </c>
      <c r="F14" s="2" t="n">
        <v>354.88</v>
      </c>
      <c r="G14" s="2" t="n">
        <v>343.29</v>
      </c>
      <c r="H14" s="2" t="n">
        <f aca="false">356.89+0.16</f>
        <v>357.05</v>
      </c>
      <c r="I14" s="2" t="n">
        <v>344.72</v>
      </c>
      <c r="J14" s="2" t="n">
        <v>355.1</v>
      </c>
      <c r="K14" s="2" t="n">
        <v>356.72</v>
      </c>
      <c r="L14" s="2" t="n">
        <v>339.12</v>
      </c>
      <c r="M14" s="2" t="n">
        <v>354.58</v>
      </c>
      <c r="N14" s="2" t="n">
        <v>343.7</v>
      </c>
      <c r="O14" s="2" t="n">
        <v>-0.04</v>
      </c>
      <c r="P14" s="4" t="n">
        <f aca="false">SUM(D14:O14)</f>
        <v>3723.03</v>
      </c>
      <c r="R14" s="16" t="n">
        <v>3000</v>
      </c>
    </row>
    <row r="15" customFormat="false" ht="15" hidden="false" customHeight="false" outlineLevel="0" collapsed="false">
      <c r="A15" s="8" t="s">
        <v>287</v>
      </c>
      <c r="B15" s="8" t="s">
        <v>288</v>
      </c>
      <c r="C15" s="12" t="n">
        <v>7200</v>
      </c>
      <c r="D15" s="2" t="n">
        <v>550</v>
      </c>
      <c r="E15" s="2" t="n">
        <v>550</v>
      </c>
      <c r="F15" s="2" t="n">
        <v>550</v>
      </c>
      <c r="G15" s="2" t="n">
        <v>550</v>
      </c>
      <c r="H15" s="2" t="n">
        <v>550</v>
      </c>
      <c r="I15" s="2" t="n">
        <v>600</v>
      </c>
      <c r="J15" s="2" t="n">
        <v>3300</v>
      </c>
      <c r="K15" s="2" t="n">
        <v>550</v>
      </c>
      <c r="L15" s="2" t="n">
        <v>550</v>
      </c>
      <c r="M15" s="2" t="n">
        <v>550</v>
      </c>
      <c r="N15" s="2" t="n">
        <v>550</v>
      </c>
      <c r="O15" s="2" t="n">
        <v>550</v>
      </c>
      <c r="P15" s="4" t="n">
        <f aca="false">SUM(D15:O15)</f>
        <v>9400</v>
      </c>
      <c r="R15" s="16" t="n">
        <v>7200</v>
      </c>
    </row>
    <row r="16" customFormat="false" ht="15" hidden="false" customHeight="false" outlineLevel="0" collapsed="false">
      <c r="A16" s="8" t="s">
        <v>291</v>
      </c>
      <c r="B16" s="8" t="s">
        <v>292</v>
      </c>
      <c r="C16" s="12" t="n">
        <v>21000</v>
      </c>
      <c r="M16" s="2" t="n">
        <v>21000</v>
      </c>
      <c r="P16" s="4" t="n">
        <f aca="false">SUM(D16:O16)</f>
        <v>21000</v>
      </c>
      <c r="R16" s="16" t="n">
        <v>21000</v>
      </c>
    </row>
    <row r="17" customFormat="false" ht="15" hidden="false" customHeight="false" outlineLevel="0" collapsed="false">
      <c r="A17" s="8" t="s">
        <v>293</v>
      </c>
      <c r="B17" s="8" t="s">
        <v>294</v>
      </c>
      <c r="C17" s="12" t="n">
        <v>2500</v>
      </c>
      <c r="F17" s="2" t="n">
        <v>100</v>
      </c>
      <c r="G17" s="2" t="n">
        <v>410</v>
      </c>
      <c r="H17" s="2" t="n">
        <v>200</v>
      </c>
      <c r="I17" s="2" t="n">
        <v>470</v>
      </c>
      <c r="J17" s="2" t="n">
        <v>1015</v>
      </c>
      <c r="P17" s="4" t="n">
        <f aca="false">SUM(D17:O17)</f>
        <v>2195</v>
      </c>
      <c r="R17" s="16" t="n">
        <v>2500</v>
      </c>
    </row>
    <row r="18" customFormat="false" ht="15" hidden="false" customHeight="false" outlineLevel="0" collapsed="false">
      <c r="A18" s="8" t="s">
        <v>295</v>
      </c>
      <c r="B18" s="8" t="s">
        <v>296</v>
      </c>
      <c r="C18" s="12" t="n">
        <v>1000</v>
      </c>
      <c r="D18" s="2" t="n">
        <f aca="false">124-96</f>
        <v>28</v>
      </c>
      <c r="E18" s="2" t="n">
        <v>96</v>
      </c>
      <c r="F18" s="2" t="n">
        <v>61</v>
      </c>
      <c r="G18" s="2" t="n">
        <v>132</v>
      </c>
      <c r="H18" s="2" t="n">
        <v>240</v>
      </c>
      <c r="I18" s="2" t="n">
        <v>271</v>
      </c>
      <c r="J18" s="2" t="n">
        <v>240</v>
      </c>
      <c r="K18" s="2" t="n">
        <v>188</v>
      </c>
      <c r="L18" s="2" t="n">
        <v>133</v>
      </c>
      <c r="M18" s="2" t="n">
        <v>220</v>
      </c>
      <c r="N18" s="2" t="n">
        <v>178</v>
      </c>
      <c r="O18" s="2" t="n">
        <v>93</v>
      </c>
      <c r="P18" s="4" t="n">
        <f aca="false">SUM(D18:O18)</f>
        <v>1880</v>
      </c>
      <c r="R18" s="16" t="n">
        <v>1250</v>
      </c>
    </row>
    <row r="19" customFormat="false" ht="15" hidden="false" customHeight="false" outlineLevel="0" collapsed="false">
      <c r="A19" s="8" t="s">
        <v>404</v>
      </c>
      <c r="B19" s="8" t="s">
        <v>298</v>
      </c>
      <c r="C19" s="12" t="n">
        <v>15000</v>
      </c>
      <c r="D19" s="2" t="n">
        <v>2455</v>
      </c>
      <c r="E19" s="2"/>
      <c r="F19" s="2" t="n">
        <v>310.02</v>
      </c>
      <c r="H19" s="2" t="n">
        <v>730.01</v>
      </c>
      <c r="I19" s="2" t="n">
        <v>2385</v>
      </c>
      <c r="J19" s="2" t="n">
        <v>3861.03</v>
      </c>
      <c r="K19" s="2" t="n">
        <v>1835.03</v>
      </c>
      <c r="L19" s="2" t="n">
        <v>1655</v>
      </c>
      <c r="M19" s="2" t="n">
        <v>3708.85</v>
      </c>
      <c r="N19" s="2" t="n">
        <v>0.08</v>
      </c>
      <c r="O19" s="2" t="n">
        <v>1705.05</v>
      </c>
      <c r="P19" s="4" t="n">
        <f aca="false">SUM(D19:O19)</f>
        <v>18645.07</v>
      </c>
      <c r="R19" s="16" t="n">
        <v>15000</v>
      </c>
    </row>
    <row r="20" customFormat="false" ht="15" hidden="false" customHeight="false" outlineLevel="0" collapsed="false">
      <c r="A20" s="8" t="s">
        <v>299</v>
      </c>
      <c r="B20" s="8" t="s">
        <v>300</v>
      </c>
      <c r="C20" s="12" t="n">
        <v>200</v>
      </c>
      <c r="P20" s="4" t="n">
        <f aca="false">SUM(D20:O20)</f>
        <v>0</v>
      </c>
      <c r="R20" s="16" t="n">
        <v>200</v>
      </c>
    </row>
    <row r="21" customFormat="false" ht="15" hidden="false" customHeight="false" outlineLevel="0" collapsed="false">
      <c r="A21" s="8" t="s">
        <v>301</v>
      </c>
      <c r="B21" s="8" t="s">
        <v>302</v>
      </c>
      <c r="C21" s="12" t="n">
        <v>12000</v>
      </c>
      <c r="D21" s="2" t="n">
        <f aca="false">1926.5-1002</f>
        <v>924.5</v>
      </c>
      <c r="E21" s="2" t="n">
        <v>1002</v>
      </c>
      <c r="F21" s="2" t="n">
        <v>660</v>
      </c>
      <c r="G21" s="2" t="n">
        <v>425</v>
      </c>
      <c r="H21" s="2" t="n">
        <v>660</v>
      </c>
      <c r="I21" s="2" t="n">
        <v>685</v>
      </c>
      <c r="J21" s="2" t="n">
        <v>455</v>
      </c>
      <c r="K21" s="2" t="n">
        <v>1425</v>
      </c>
      <c r="L21" s="2" t="n">
        <f aca="false">3309-3201</f>
        <v>108</v>
      </c>
      <c r="M21" s="2" t="n">
        <v>2891</v>
      </c>
      <c r="N21" s="2" t="n">
        <v>1668</v>
      </c>
      <c r="O21" s="2" t="n">
        <v>1095</v>
      </c>
      <c r="P21" s="4" t="n">
        <f aca="false">SUM(D21:O21)</f>
        <v>11998.5</v>
      </c>
      <c r="R21" s="16" t="n">
        <v>13000</v>
      </c>
    </row>
    <row r="22" customFormat="false" ht="15" hidden="false" customHeight="false" outlineLevel="0" collapsed="false">
      <c r="A22" s="8" t="s">
        <v>307</v>
      </c>
      <c r="B22" s="8" t="s">
        <v>308</v>
      </c>
      <c r="C22" s="12" t="n">
        <v>500</v>
      </c>
      <c r="D22" s="2" t="n">
        <v>189.9</v>
      </c>
      <c r="E22" s="2"/>
      <c r="P22" s="4" t="n">
        <f aca="false">SUM(D22:O22)</f>
        <v>189.9</v>
      </c>
      <c r="R22" s="16" t="n">
        <v>500</v>
      </c>
    </row>
    <row r="23" customFormat="false" ht="15" hidden="false" customHeight="false" outlineLevel="0" collapsed="false">
      <c r="A23" s="8" t="s">
        <v>309</v>
      </c>
      <c r="B23" s="8" t="s">
        <v>310</v>
      </c>
      <c r="C23" s="12" t="n">
        <v>11100</v>
      </c>
      <c r="K23" s="2" t="n">
        <v>144</v>
      </c>
      <c r="P23" s="4" t="n">
        <f aca="false">SUM(D23:O23)</f>
        <v>144</v>
      </c>
      <c r="R23" s="16" t="n">
        <v>0</v>
      </c>
    </row>
    <row r="24" customFormat="false" ht="15" hidden="false" customHeight="false" outlineLevel="0" collapsed="false">
      <c r="A24" s="8" t="s">
        <v>311</v>
      </c>
      <c r="B24" s="8" t="s">
        <v>312</v>
      </c>
      <c r="C24" s="16"/>
      <c r="P24" s="4" t="n">
        <f aca="false">SUM(D24:O24)</f>
        <v>0</v>
      </c>
      <c r="R24" s="16" t="n">
        <v>0</v>
      </c>
    </row>
    <row r="25" customFormat="false" ht="15" hidden="false" customHeight="false" outlineLevel="0" collapsed="false">
      <c r="A25" s="8" t="s">
        <v>313</v>
      </c>
      <c r="B25" s="8" t="s">
        <v>314</v>
      </c>
      <c r="C25" s="12" t="n">
        <v>50</v>
      </c>
      <c r="D25" s="2" t="n">
        <f aca="false">7.06-2.64</f>
        <v>4.42</v>
      </c>
      <c r="E25" s="2" t="n">
        <v>6542.64</v>
      </c>
      <c r="F25" s="2" t="n">
        <v>3.5</v>
      </c>
      <c r="G25" s="2" t="n">
        <v>0.25</v>
      </c>
      <c r="H25" s="2" t="n">
        <v>13.75</v>
      </c>
      <c r="I25" s="2" t="n">
        <v>4.25</v>
      </c>
      <c r="K25" s="2" t="n">
        <v>17.75</v>
      </c>
      <c r="L25" s="2" t="n">
        <v>10.75</v>
      </c>
      <c r="M25" s="2" t="n">
        <v>2.25</v>
      </c>
      <c r="N25" s="2" t="n">
        <v>14.25</v>
      </c>
      <c r="O25" s="2" t="n">
        <v>103.25</v>
      </c>
      <c r="P25" s="4" t="n">
        <f aca="false">SUM(D25:O25)</f>
        <v>6717.06</v>
      </c>
      <c r="R25" s="16" t="n">
        <v>50</v>
      </c>
    </row>
    <row r="26" customFormat="false" ht="15" hidden="false" customHeight="false" outlineLevel="0" collapsed="false">
      <c r="A26" s="8" t="s">
        <v>315</v>
      </c>
      <c r="B26" s="8" t="s">
        <v>316</v>
      </c>
      <c r="C26" s="12" t="n">
        <v>5000</v>
      </c>
      <c r="O26" s="2" t="n">
        <v>5369</v>
      </c>
      <c r="P26" s="4" t="n">
        <f aca="false">SUM(D26:O26)</f>
        <v>5369</v>
      </c>
      <c r="R26" s="16" t="n">
        <v>4000</v>
      </c>
    </row>
    <row r="27" customFormat="false" ht="15" hidden="false" customHeight="false" outlineLevel="0" collapsed="false">
      <c r="A27" s="8" t="s">
        <v>317</v>
      </c>
      <c r="B27" s="8" t="s">
        <v>318</v>
      </c>
      <c r="C27" s="12" t="n">
        <v>25000</v>
      </c>
      <c r="H27" s="2" t="n">
        <v>5291.19</v>
      </c>
      <c r="N27" s="2" t="n">
        <v>11249.18</v>
      </c>
      <c r="P27" s="4" t="n">
        <f aca="false">SUM(D27:O27)</f>
        <v>16540.37</v>
      </c>
      <c r="R27" s="16" t="n">
        <v>20000</v>
      </c>
    </row>
    <row r="28" customFormat="false" ht="15" hidden="false" customHeight="false" outlineLevel="0" collapsed="false">
      <c r="A28" s="8" t="s">
        <v>319</v>
      </c>
      <c r="B28" s="8" t="s">
        <v>320</v>
      </c>
      <c r="C28" s="16" t="n">
        <v>0</v>
      </c>
      <c r="O28" s="2" t="n">
        <v>17168.52</v>
      </c>
      <c r="P28" s="4" t="n">
        <f aca="false">SUM(D28:O28)</f>
        <v>17168.52</v>
      </c>
      <c r="R28" s="16" t="n">
        <v>23000</v>
      </c>
    </row>
    <row r="29" customFormat="false" ht="15" hidden="false" customHeight="false" outlineLevel="0" collapsed="false">
      <c r="A29" s="8" t="s">
        <v>325</v>
      </c>
      <c r="B29" s="8" t="s">
        <v>194</v>
      </c>
      <c r="C29" s="16"/>
      <c r="M29" s="2" t="n">
        <v>10319.46</v>
      </c>
      <c r="P29" s="4" t="n">
        <f aca="false">SUM(D29:O29)</f>
        <v>10319.46</v>
      </c>
      <c r="R29" s="16" t="n">
        <v>10000</v>
      </c>
    </row>
    <row r="30" customFormat="false" ht="15" hidden="false" customHeight="false" outlineLevel="0" collapsed="false">
      <c r="A30" s="8" t="s">
        <v>405</v>
      </c>
      <c r="B30" s="8" t="s">
        <v>406</v>
      </c>
      <c r="C30" s="16"/>
      <c r="P30" s="4"/>
      <c r="R30" s="16" t="n">
        <v>30000</v>
      </c>
    </row>
    <row r="31" customFormat="false" ht="15" hidden="false" customHeight="false" outlineLevel="0" collapsed="false">
      <c r="A31" s="8" t="s">
        <v>407</v>
      </c>
      <c r="B31" s="8" t="s">
        <v>408</v>
      </c>
      <c r="C31" s="16" t="n">
        <v>75000</v>
      </c>
      <c r="P31" s="4" t="n">
        <f aca="false">SUM(D31:O31)</f>
        <v>0</v>
      </c>
      <c r="R31" s="16" t="n">
        <v>64400</v>
      </c>
    </row>
    <row r="32" customFormat="false" ht="15" hidden="false" customHeight="false" outlineLevel="0" collapsed="false">
      <c r="A32" s="8"/>
      <c r="B32" s="14" t="s">
        <v>409</v>
      </c>
      <c r="C32" s="16" t="n">
        <f aca="false">SUM(C4:C31)</f>
        <v>1167613</v>
      </c>
      <c r="D32" s="2" t="n">
        <f aca="false">SUM(D4:D31)</f>
        <v>340319.98</v>
      </c>
      <c r="E32" s="2" t="n">
        <f aca="false">SUM(E4:E31)</f>
        <v>8932.34</v>
      </c>
      <c r="F32" s="2" t="n">
        <f aca="false">SUM(F4:F31)</f>
        <v>4015.11</v>
      </c>
      <c r="G32" s="2" t="n">
        <f aca="false">SUM(G4:G31)</f>
        <v>164755.95</v>
      </c>
      <c r="H32" s="2" t="n">
        <f aca="false">SUM(H4:H31)</f>
        <v>95154.48</v>
      </c>
      <c r="I32" s="2" t="n">
        <f aca="false">SUM(I4:I31)</f>
        <v>20582.01</v>
      </c>
      <c r="J32" s="2" t="n">
        <f aca="false">SUM(J4:J31)</f>
        <v>205149</v>
      </c>
      <c r="K32" s="2" t="n">
        <f aca="false">SUM(K4:K31)</f>
        <v>36376.99</v>
      </c>
      <c r="L32" s="2" t="n">
        <f aca="false">SUM(L4:L31)</f>
        <v>23157.7</v>
      </c>
      <c r="M32" s="2" t="n">
        <f aca="false">SUM(M4:M31)</f>
        <v>142478.52</v>
      </c>
      <c r="N32" s="2" t="n">
        <f aca="false">SUM(N4:N31)</f>
        <v>-6021.52</v>
      </c>
      <c r="O32" s="2" t="n">
        <f aca="false">SUM(O4:O31)</f>
        <v>26780.4</v>
      </c>
      <c r="P32" s="4" t="n">
        <f aca="false">SUM(D32:O32)</f>
        <v>1061680.96</v>
      </c>
      <c r="R32" s="24" t="n">
        <f aca="false">SUM(R4:R31)</f>
        <v>1052650</v>
      </c>
    </row>
    <row r="33" customFormat="false" ht="15" hidden="false" customHeight="false" outlineLevel="0" collapsed="false">
      <c r="Q33" s="0" t="s">
        <v>410</v>
      </c>
      <c r="R33" s="16" t="n">
        <f aca="false">944668+177534+19000+52000</f>
        <v>1193202</v>
      </c>
      <c r="S33" s="0" t="s">
        <v>411</v>
      </c>
      <c r="T33" s="16" t="n">
        <f aca="false">-1172292+1193202</f>
        <v>20910</v>
      </c>
    </row>
    <row r="34" customFormat="false" ht="15" hidden="false" customHeight="false" outlineLevel="0" collapsed="false">
      <c r="A34" s="8" t="s">
        <v>38</v>
      </c>
      <c r="B34" s="8" t="s">
        <v>39</v>
      </c>
      <c r="C34" s="12" t="n">
        <v>12175</v>
      </c>
      <c r="F34" s="2" t="n">
        <v>3043.76</v>
      </c>
      <c r="I34" s="2" t="n">
        <v>3043.76</v>
      </c>
      <c r="L34" s="2" t="n">
        <v>3043.76</v>
      </c>
      <c r="M34" s="2" t="n">
        <v>760.94</v>
      </c>
      <c r="O34" s="2" t="n">
        <v>3043.76</v>
      </c>
      <c r="P34" s="4" t="n">
        <f aca="false">SUM(D34:O34)</f>
        <v>12935.98</v>
      </c>
      <c r="R34" s="12" t="n">
        <v>12175</v>
      </c>
    </row>
    <row r="35" customFormat="false" ht="15" hidden="false" customHeight="false" outlineLevel="0" collapsed="false">
      <c r="A35" s="8" t="s">
        <v>40</v>
      </c>
      <c r="B35" s="8" t="s">
        <v>41</v>
      </c>
      <c r="C35" s="12" t="n">
        <v>1500</v>
      </c>
      <c r="F35" s="2" t="n">
        <v>66.08</v>
      </c>
      <c r="G35" s="2" t="n">
        <v>527.49</v>
      </c>
      <c r="H35" s="2" t="n">
        <v>73.66</v>
      </c>
      <c r="M35" s="2" t="n">
        <v>139.2</v>
      </c>
      <c r="O35" s="2" t="n">
        <v>347.62</v>
      </c>
      <c r="P35" s="4" t="n">
        <f aca="false">SUM(D35:O35)</f>
        <v>1154.05</v>
      </c>
      <c r="R35" s="12" t="n">
        <v>1500</v>
      </c>
    </row>
    <row r="36" customFormat="false" ht="15" hidden="false" customHeight="false" outlineLevel="0" collapsed="false">
      <c r="A36" s="8" t="s">
        <v>42</v>
      </c>
      <c r="B36" s="8" t="s">
        <v>43</v>
      </c>
      <c r="C36" s="12" t="n">
        <v>0</v>
      </c>
      <c r="P36" s="4" t="n">
        <f aca="false">SUM(D36:O36)</f>
        <v>0</v>
      </c>
      <c r="R36" s="12" t="n">
        <v>1500</v>
      </c>
    </row>
    <row r="37" customFormat="false" ht="15" hidden="false" customHeight="false" outlineLevel="0" collapsed="false">
      <c r="A37" s="8" t="s">
        <v>44</v>
      </c>
      <c r="B37" s="8" t="s">
        <v>45</v>
      </c>
      <c r="C37" s="12" t="n">
        <v>15810</v>
      </c>
      <c r="D37" s="2" t="n">
        <v>1317.5</v>
      </c>
      <c r="E37" s="2" t="n">
        <v>1317.5</v>
      </c>
      <c r="F37" s="2" t="n">
        <v>1317.5</v>
      </c>
      <c r="G37" s="2" t="n">
        <v>1317.5</v>
      </c>
      <c r="H37" s="2" t="n">
        <v>1317.5</v>
      </c>
      <c r="I37" s="2" t="n">
        <v>1317.5</v>
      </c>
      <c r="J37" s="2" t="n">
        <v>1317.5</v>
      </c>
      <c r="K37" s="2" t="n">
        <v>1317.5</v>
      </c>
      <c r="L37" s="2" t="n">
        <v>1317.5</v>
      </c>
      <c r="M37" s="2" t="n">
        <v>1317.5</v>
      </c>
      <c r="N37" s="2" t="n">
        <v>1317.5</v>
      </c>
      <c r="O37" s="2" t="n">
        <v>1317.5</v>
      </c>
      <c r="P37" s="4" t="n">
        <f aca="false">SUM(D37:O37)</f>
        <v>15810</v>
      </c>
      <c r="R37" s="16" t="n">
        <v>16285</v>
      </c>
    </row>
    <row r="38" customFormat="false" ht="15" hidden="false" customHeight="false" outlineLevel="0" collapsed="false">
      <c r="A38" s="8" t="s">
        <v>46</v>
      </c>
      <c r="B38" s="8" t="s">
        <v>47</v>
      </c>
      <c r="C38" s="12" t="n">
        <v>3366</v>
      </c>
      <c r="F38" s="2" t="n">
        <v>841.5</v>
      </c>
      <c r="I38" s="2" t="n">
        <v>841.5</v>
      </c>
      <c r="L38" s="2" t="n">
        <v>841.5</v>
      </c>
      <c r="O38" s="2" t="n">
        <v>841.5</v>
      </c>
      <c r="P38" s="4" t="n">
        <f aca="false">SUM(D38:O38)</f>
        <v>3366</v>
      </c>
      <c r="R38" s="16" t="n">
        <v>3467</v>
      </c>
    </row>
    <row r="39" customFormat="false" ht="15" hidden="false" customHeight="false" outlineLevel="0" collapsed="false">
      <c r="A39" s="8" t="s">
        <v>48</v>
      </c>
      <c r="B39" s="8" t="s">
        <v>49</v>
      </c>
      <c r="C39" s="12" t="n">
        <v>0</v>
      </c>
      <c r="O39" s="2" t="n">
        <v>136.89</v>
      </c>
      <c r="P39" s="4" t="n">
        <f aca="false">SUM(D39:O39)</f>
        <v>136.89</v>
      </c>
    </row>
    <row r="40" customFormat="false" ht="15" hidden="false" customHeight="false" outlineLevel="0" collapsed="false">
      <c r="A40" s="8" t="s">
        <v>50</v>
      </c>
      <c r="B40" s="8" t="s">
        <v>51</v>
      </c>
      <c r="C40" s="12" t="n">
        <v>1500</v>
      </c>
      <c r="D40" s="2" t="n">
        <f aca="false">736.74-574.32</f>
        <v>162.42</v>
      </c>
      <c r="E40" s="2" t="n">
        <v>260.2</v>
      </c>
      <c r="F40" s="2" t="n">
        <f aca="false">518.16-352.74</f>
        <v>165.42</v>
      </c>
      <c r="G40" s="2" t="n">
        <f aca="false">92.54+31.62</f>
        <v>124.16</v>
      </c>
      <c r="H40" s="2" t="n">
        <v>56.16</v>
      </c>
      <c r="M40" s="2" t="n">
        <v>126.36</v>
      </c>
      <c r="P40" s="4" t="n">
        <f aca="false">SUM(D40:O40)</f>
        <v>894.72</v>
      </c>
      <c r="R40" s="12" t="n">
        <v>1500</v>
      </c>
    </row>
    <row r="41" customFormat="false" ht="15" hidden="false" customHeight="false" outlineLevel="0" collapsed="false">
      <c r="A41" s="8" t="s">
        <v>52</v>
      </c>
      <c r="B41" s="8" t="s">
        <v>53</v>
      </c>
      <c r="C41" s="12" t="n">
        <v>10232</v>
      </c>
      <c r="D41" s="2" t="n">
        <f aca="false">787.08</f>
        <v>787.08</v>
      </c>
      <c r="E41" s="2" t="n">
        <v>787.08</v>
      </c>
      <c r="F41" s="2" t="n">
        <v>787.08</v>
      </c>
      <c r="G41" s="2" t="n">
        <v>787.08</v>
      </c>
      <c r="H41" s="2" t="n">
        <v>1180.62</v>
      </c>
      <c r="I41" s="2" t="n">
        <v>787.08</v>
      </c>
      <c r="J41" s="2" t="n">
        <v>787.08</v>
      </c>
      <c r="K41" s="2" t="n">
        <v>787.08</v>
      </c>
      <c r="L41" s="2" t="n">
        <v>787.08</v>
      </c>
      <c r="M41" s="2" t="n">
        <v>787.08</v>
      </c>
      <c r="N41" s="2" t="n">
        <v>1180.62</v>
      </c>
      <c r="O41" s="2" t="n">
        <v>787.08</v>
      </c>
      <c r="P41" s="4" t="n">
        <f aca="false">SUM(D41:O41)</f>
        <v>10232.04</v>
      </c>
      <c r="R41" s="12" t="n">
        <v>10232</v>
      </c>
    </row>
    <row r="42" customFormat="false" ht="15" hidden="false" customHeight="false" outlineLevel="0" collapsed="false">
      <c r="A42" s="8" t="s">
        <v>54</v>
      </c>
      <c r="B42" s="8" t="s">
        <v>55</v>
      </c>
      <c r="C42" s="12" t="n">
        <v>1000</v>
      </c>
      <c r="D42" s="2" t="n">
        <v>458.94</v>
      </c>
      <c r="P42" s="4" t="n">
        <f aca="false">SUM(D42:O42)</f>
        <v>458.94</v>
      </c>
      <c r="R42" s="12" t="n">
        <v>1000</v>
      </c>
    </row>
    <row r="43" customFormat="false" ht="15" hidden="false" customHeight="false" outlineLevel="0" collapsed="false">
      <c r="A43" s="8" t="s">
        <v>56</v>
      </c>
      <c r="B43" s="8" t="s">
        <v>57</v>
      </c>
      <c r="C43" s="12" t="n">
        <v>2000</v>
      </c>
      <c r="D43" s="2" t="n">
        <v>2000</v>
      </c>
      <c r="P43" s="4" t="n">
        <f aca="false">SUM(D43:O43)</f>
        <v>2000</v>
      </c>
      <c r="R43" s="12" t="n">
        <v>2200</v>
      </c>
    </row>
    <row r="44" customFormat="false" ht="15" hidden="false" customHeight="false" outlineLevel="0" collapsed="false">
      <c r="A44" s="8" t="s">
        <v>58</v>
      </c>
      <c r="B44" s="8" t="s">
        <v>59</v>
      </c>
      <c r="C44" s="12" t="n">
        <v>3000</v>
      </c>
      <c r="D44" s="2" t="n">
        <v>0</v>
      </c>
      <c r="E44" s="2" t="n">
        <v>71.09</v>
      </c>
      <c r="F44" s="2" t="n">
        <v>274.06</v>
      </c>
      <c r="G44" s="2" t="n">
        <v>390.15</v>
      </c>
      <c r="H44" s="2" t="n">
        <v>253.32</v>
      </c>
      <c r="I44" s="2" t="n">
        <v>257.12</v>
      </c>
      <c r="K44" s="2" t="n">
        <v>180.96</v>
      </c>
      <c r="M44" s="2" t="n">
        <v>110</v>
      </c>
      <c r="O44" s="2" t="n">
        <v>119.86</v>
      </c>
      <c r="P44" s="4" t="n">
        <f aca="false">SUM(D44:O44)</f>
        <v>1656.56</v>
      </c>
      <c r="R44" s="12" t="n">
        <v>3000</v>
      </c>
    </row>
    <row r="45" customFormat="false" ht="15" hidden="false" customHeight="false" outlineLevel="0" collapsed="false">
      <c r="A45" s="8" t="s">
        <v>60</v>
      </c>
      <c r="B45" s="8" t="s">
        <v>61</v>
      </c>
      <c r="C45" s="12" t="n">
        <v>24277</v>
      </c>
      <c r="D45" s="2" t="n">
        <v>1867.46</v>
      </c>
      <c r="E45" s="2" t="n">
        <v>1867.46</v>
      </c>
      <c r="F45" s="2" t="n">
        <v>1867.46</v>
      </c>
      <c r="G45" s="2" t="n">
        <v>1867.46</v>
      </c>
      <c r="H45" s="2" t="n">
        <v>2801.19</v>
      </c>
      <c r="I45" s="2" t="n">
        <v>1867.46</v>
      </c>
      <c r="J45" s="2" t="n">
        <v>1867.46</v>
      </c>
      <c r="K45" s="2" t="n">
        <v>1867.46</v>
      </c>
      <c r="L45" s="2" t="n">
        <v>1867.46</v>
      </c>
      <c r="M45" s="2" t="n">
        <v>1867.46</v>
      </c>
      <c r="N45" s="2" t="n">
        <v>2801.19</v>
      </c>
      <c r="O45" s="2" t="n">
        <v>1867.46</v>
      </c>
      <c r="P45" s="4" t="n">
        <f aca="false">SUM(D45:O45)</f>
        <v>24276.98</v>
      </c>
      <c r="R45" s="16" t="n">
        <v>25005</v>
      </c>
    </row>
    <row r="46" customFormat="false" ht="15" hidden="false" customHeight="false" outlineLevel="0" collapsed="false">
      <c r="A46" s="8" t="s">
        <v>62</v>
      </c>
      <c r="B46" s="8"/>
      <c r="C46" s="12" t="n">
        <v>0</v>
      </c>
      <c r="P46" s="4" t="n">
        <f aca="false">SUM(D46:O46)</f>
        <v>0</v>
      </c>
    </row>
    <row r="47" customFormat="false" ht="15" hidden="false" customHeight="false" outlineLevel="0" collapsed="false">
      <c r="A47" s="8" t="s">
        <v>63</v>
      </c>
      <c r="B47" s="8" t="s">
        <v>64</v>
      </c>
      <c r="C47" s="12" t="n">
        <v>2781</v>
      </c>
      <c r="D47" s="2" t="n">
        <v>213.92</v>
      </c>
      <c r="E47" s="2" t="n">
        <v>213.92</v>
      </c>
      <c r="F47" s="2" t="n">
        <v>213.92</v>
      </c>
      <c r="G47" s="2" t="n">
        <v>213.92</v>
      </c>
      <c r="H47" s="2" t="n">
        <v>320.88</v>
      </c>
      <c r="I47" s="2" t="n">
        <v>213.92</v>
      </c>
      <c r="J47" s="2" t="n">
        <v>213.92</v>
      </c>
      <c r="K47" s="2" t="n">
        <v>213.92</v>
      </c>
      <c r="L47" s="2" t="n">
        <v>213.92</v>
      </c>
      <c r="M47" s="2" t="n">
        <v>213.92</v>
      </c>
      <c r="N47" s="2" t="n">
        <v>320.88</v>
      </c>
      <c r="O47" s="2" t="n">
        <v>213.92</v>
      </c>
      <c r="P47" s="4" t="n">
        <f aca="false">SUM(D47:O47)</f>
        <v>2780.96</v>
      </c>
      <c r="R47" s="16" t="n">
        <v>2865</v>
      </c>
    </row>
    <row r="48" customFormat="false" ht="15" hidden="false" customHeight="false" outlineLevel="0" collapsed="false">
      <c r="A48" s="8" t="s">
        <v>65</v>
      </c>
      <c r="B48" s="8" t="s">
        <v>66</v>
      </c>
      <c r="C48" s="12" t="n">
        <v>200</v>
      </c>
      <c r="P48" s="4" t="n">
        <f aca="false">SUM(D48:O48)</f>
        <v>0</v>
      </c>
      <c r="R48" s="16" t="n">
        <v>200</v>
      </c>
    </row>
    <row r="49" customFormat="false" ht="15" hidden="false" customHeight="false" outlineLevel="0" collapsed="false">
      <c r="A49" s="8" t="s">
        <v>67</v>
      </c>
      <c r="B49" s="8" t="s">
        <v>68</v>
      </c>
      <c r="C49" s="12" t="n">
        <v>25235</v>
      </c>
      <c r="D49" s="2" t="n">
        <v>1941.16</v>
      </c>
      <c r="E49" s="2" t="n">
        <v>1941.16</v>
      </c>
      <c r="F49" s="2" t="n">
        <v>1941.16</v>
      </c>
      <c r="G49" s="2" t="n">
        <v>1941.16</v>
      </c>
      <c r="H49" s="2" t="n">
        <v>2911.74</v>
      </c>
      <c r="I49" s="2" t="n">
        <v>1941.16</v>
      </c>
      <c r="J49" s="2" t="n">
        <v>1941.16</v>
      </c>
      <c r="K49" s="2" t="n">
        <v>1941.16</v>
      </c>
      <c r="L49" s="2" t="n">
        <v>1941.16</v>
      </c>
      <c r="M49" s="2" t="n">
        <v>1941.16</v>
      </c>
      <c r="N49" s="2" t="n">
        <v>2911.74</v>
      </c>
      <c r="O49" s="2" t="n">
        <v>1941.16</v>
      </c>
      <c r="P49" s="4" t="n">
        <f aca="false">SUM(D49:O49)</f>
        <v>25235.08</v>
      </c>
      <c r="R49" s="16" t="n">
        <v>25992</v>
      </c>
    </row>
    <row r="50" customFormat="false" ht="15" hidden="false" customHeight="false" outlineLevel="0" collapsed="false">
      <c r="A50" s="8" t="s">
        <v>69</v>
      </c>
      <c r="B50" s="8" t="s">
        <v>70</v>
      </c>
      <c r="C50" s="12" t="n">
        <v>0</v>
      </c>
      <c r="P50" s="4" t="n">
        <f aca="false">SUM(D50:O50)</f>
        <v>0</v>
      </c>
    </row>
    <row r="51" customFormat="false" ht="15" hidden="false" customHeight="false" outlineLevel="0" collapsed="false">
      <c r="A51" s="8" t="s">
        <v>71</v>
      </c>
      <c r="B51" s="8" t="s">
        <v>72</v>
      </c>
      <c r="C51" s="12" t="n">
        <v>0</v>
      </c>
      <c r="P51" s="4" t="n">
        <f aca="false">SUM(D51:O51)</f>
        <v>0</v>
      </c>
    </row>
    <row r="52" customFormat="false" ht="15" hidden="false" customHeight="false" outlineLevel="0" collapsed="false">
      <c r="A52" s="8" t="s">
        <v>73</v>
      </c>
      <c r="B52" s="8" t="s">
        <v>74</v>
      </c>
      <c r="C52" s="12" t="n">
        <v>500</v>
      </c>
      <c r="P52" s="4" t="n">
        <f aca="false">SUM(D52:O52)</f>
        <v>0</v>
      </c>
      <c r="R52" s="12"/>
    </row>
    <row r="53" customFormat="false" ht="15" hidden="false" customHeight="false" outlineLevel="0" collapsed="false">
      <c r="A53" s="8" t="s">
        <v>75</v>
      </c>
      <c r="B53" s="8" t="s">
        <v>76</v>
      </c>
      <c r="C53" s="12" t="n">
        <v>1000</v>
      </c>
      <c r="P53" s="4" t="n">
        <f aca="false">SUM(D53:O53)</f>
        <v>0</v>
      </c>
      <c r="R53" s="12" t="n">
        <v>500</v>
      </c>
    </row>
    <row r="54" customFormat="false" ht="15" hidden="false" customHeight="false" outlineLevel="0" collapsed="false">
      <c r="A54" s="8" t="s">
        <v>78</v>
      </c>
      <c r="B54" s="8" t="s">
        <v>79</v>
      </c>
      <c r="C54" s="12" t="n">
        <v>3000</v>
      </c>
      <c r="D54" s="2" t="n">
        <v>1277.2</v>
      </c>
      <c r="F54" s="2" t="n">
        <v>42.54</v>
      </c>
      <c r="H54" s="2" t="n">
        <v>138.56</v>
      </c>
      <c r="L54" s="2" t="n">
        <v>95.28</v>
      </c>
      <c r="M54" s="2" t="n">
        <v>106.97</v>
      </c>
      <c r="P54" s="4" t="n">
        <f aca="false">SUM(D54:O54)</f>
        <v>1660.55</v>
      </c>
      <c r="R54" s="12" t="n">
        <v>3000</v>
      </c>
    </row>
    <row r="55" customFormat="false" ht="15" hidden="false" customHeight="false" outlineLevel="0" collapsed="false">
      <c r="A55" s="8" t="s">
        <v>80</v>
      </c>
      <c r="B55" s="8" t="s">
        <v>81</v>
      </c>
      <c r="C55" s="12" t="n">
        <v>200</v>
      </c>
      <c r="P55" s="4" t="n">
        <f aca="false">SUM(D55:O55)</f>
        <v>0</v>
      </c>
    </row>
    <row r="56" customFormat="false" ht="15" hidden="false" customHeight="false" outlineLevel="0" collapsed="false">
      <c r="A56" s="8" t="s">
        <v>82</v>
      </c>
      <c r="B56" s="8" t="s">
        <v>83</v>
      </c>
      <c r="C56" s="12" t="n">
        <v>33040</v>
      </c>
      <c r="D56" s="2" t="n">
        <v>2601</v>
      </c>
      <c r="E56" s="2" t="n">
        <v>2601</v>
      </c>
      <c r="F56" s="2" t="n">
        <v>2601</v>
      </c>
      <c r="G56" s="2" t="n">
        <v>2601</v>
      </c>
      <c r="H56" s="2" t="n">
        <v>3901.5</v>
      </c>
      <c r="I56" s="2" t="n">
        <v>2601</v>
      </c>
      <c r="J56" s="2" t="n">
        <v>2601</v>
      </c>
      <c r="K56" s="2" t="n">
        <v>2601</v>
      </c>
      <c r="L56" s="2" t="n">
        <v>2601</v>
      </c>
      <c r="M56" s="2" t="n">
        <v>2601</v>
      </c>
      <c r="N56" s="2" t="n">
        <v>3901.5</v>
      </c>
      <c r="O56" s="2" t="n">
        <v>2601</v>
      </c>
      <c r="P56" s="4" t="n">
        <f aca="false">SUM(D56:O56)</f>
        <v>33813</v>
      </c>
      <c r="R56" s="16" t="n">
        <v>34031</v>
      </c>
    </row>
    <row r="57" customFormat="false" ht="15" hidden="false" customHeight="false" outlineLevel="0" collapsed="false">
      <c r="A57" s="8" t="s">
        <v>84</v>
      </c>
      <c r="B57" s="8" t="s">
        <v>85</v>
      </c>
      <c r="C57" s="12" t="n">
        <v>10000</v>
      </c>
      <c r="D57" s="2" t="n">
        <f aca="false">1994.86-1287.01</f>
        <v>707.85</v>
      </c>
      <c r="E57" s="2" t="n">
        <v>1287.01</v>
      </c>
      <c r="F57" s="2" t="n">
        <v>624.2</v>
      </c>
      <c r="G57" s="2" t="n">
        <v>1055.34</v>
      </c>
      <c r="H57" s="2" t="n">
        <v>804.38</v>
      </c>
      <c r="I57" s="2" t="n">
        <v>392.54</v>
      </c>
      <c r="J57" s="2" t="n">
        <v>444.02</v>
      </c>
      <c r="K57" s="2" t="n">
        <v>598.46</v>
      </c>
      <c r="L57" s="2" t="n">
        <v>398.98</v>
      </c>
      <c r="M57" s="2" t="n">
        <v>553.41</v>
      </c>
      <c r="N57" s="2" t="n">
        <v>1216.22</v>
      </c>
      <c r="O57" s="2" t="n">
        <v>463.33</v>
      </c>
      <c r="P57" s="4" t="n">
        <f aca="false">SUM(D57:O57)</f>
        <v>8545.74</v>
      </c>
      <c r="R57" s="12" t="n">
        <v>9000</v>
      </c>
    </row>
    <row r="58" customFormat="false" ht="15" hidden="false" customHeight="false" outlineLevel="0" collapsed="false">
      <c r="A58" s="8" t="s">
        <v>86</v>
      </c>
      <c r="B58" s="8" t="s">
        <v>87</v>
      </c>
      <c r="C58" s="12" t="n">
        <v>1000</v>
      </c>
      <c r="P58" s="4" t="n">
        <f aca="false">SUM(D58:O58)</f>
        <v>0</v>
      </c>
      <c r="R58" s="12" t="n">
        <v>1000</v>
      </c>
    </row>
    <row r="59" customFormat="false" ht="15" hidden="false" customHeight="false" outlineLevel="0" collapsed="false">
      <c r="A59" s="8" t="s">
        <v>88</v>
      </c>
      <c r="B59" s="8" t="s">
        <v>412</v>
      </c>
      <c r="C59" s="12" t="n">
        <v>7700</v>
      </c>
      <c r="D59" s="2" t="n">
        <f aca="false">4180.67-1978.03</f>
        <v>2202.64</v>
      </c>
      <c r="E59" s="2" t="n">
        <v>822.01</v>
      </c>
      <c r="F59" s="2" t="n">
        <v>555.47</v>
      </c>
      <c r="G59" s="2" t="n">
        <v>288.85</v>
      </c>
      <c r="H59" s="2" t="n">
        <v>311.7</v>
      </c>
      <c r="I59" s="2" t="n">
        <v>649.2</v>
      </c>
      <c r="J59" s="2" t="n">
        <f aca="false">119.55+47.52</f>
        <v>167.07</v>
      </c>
      <c r="K59" s="2" t="n">
        <v>314.98</v>
      </c>
      <c r="L59" s="2" t="n">
        <v>206.94</v>
      </c>
      <c r="M59" s="2" t="n">
        <f aca="false">72.2+48.81+12.55+19.61</f>
        <v>153.17</v>
      </c>
      <c r="N59" s="2" t="n">
        <v>604.17</v>
      </c>
      <c r="O59" s="2" t="n">
        <v>244.3</v>
      </c>
      <c r="P59" s="4" t="n">
        <f aca="false">SUM(D59:O59)</f>
        <v>6520.5</v>
      </c>
      <c r="R59" s="12" t="n">
        <v>7700</v>
      </c>
    </row>
    <row r="60" customFormat="false" ht="15" hidden="false" customHeight="false" outlineLevel="0" collapsed="false">
      <c r="A60" s="8" t="s">
        <v>90</v>
      </c>
      <c r="B60" s="8" t="s">
        <v>91</v>
      </c>
      <c r="C60" s="12" t="n">
        <v>30000</v>
      </c>
      <c r="D60" s="0" t="n">
        <v>0</v>
      </c>
      <c r="E60" s="2" t="n">
        <f aca="false">8786.65-6605</f>
        <v>2181.65</v>
      </c>
      <c r="F60" s="2" t="n">
        <v>1130</v>
      </c>
      <c r="G60" s="2" t="n">
        <v>87.5</v>
      </c>
      <c r="H60" s="2" t="n">
        <v>5550</v>
      </c>
      <c r="I60" s="2" t="n">
        <v>35</v>
      </c>
      <c r="J60" s="2" t="n">
        <v>5540</v>
      </c>
      <c r="K60" s="2" t="n">
        <v>4292.5</v>
      </c>
      <c r="L60" s="2" t="n">
        <v>2875</v>
      </c>
      <c r="M60" s="2" t="n">
        <f aca="false">1250</f>
        <v>1250</v>
      </c>
      <c r="N60" s="2" t="n">
        <v>13975</v>
      </c>
      <c r="O60" s="2" t="n">
        <v>2650</v>
      </c>
      <c r="P60" s="4" t="n">
        <f aca="false">SUM(D60:O60)</f>
        <v>39566.65</v>
      </c>
      <c r="R60" s="12" t="n">
        <v>30000</v>
      </c>
    </row>
    <row r="61" customFormat="false" ht="15" hidden="false" customHeight="false" outlineLevel="0" collapsed="false">
      <c r="A61" s="8" t="s">
        <v>413</v>
      </c>
      <c r="B61" s="8" t="s">
        <v>414</v>
      </c>
      <c r="C61" s="12"/>
      <c r="E61" s="2"/>
      <c r="F61" s="2"/>
      <c r="H61" s="2"/>
      <c r="I61" s="2"/>
      <c r="J61" s="2"/>
      <c r="K61" s="2"/>
      <c r="P61" s="4"/>
      <c r="R61" s="12" t="n">
        <v>2000</v>
      </c>
    </row>
    <row r="62" customFormat="false" ht="15" hidden="false" customHeight="false" outlineLevel="0" collapsed="false">
      <c r="A62" s="8" t="s">
        <v>415</v>
      </c>
      <c r="B62" s="8" t="s">
        <v>416</v>
      </c>
      <c r="C62" s="12" t="n">
        <v>12000</v>
      </c>
      <c r="E62" s="2"/>
      <c r="P62" s="4" t="n">
        <f aca="false">SUM(D62:O62)</f>
        <v>0</v>
      </c>
      <c r="R62" s="12" t="n">
        <v>36000</v>
      </c>
    </row>
    <row r="63" customFormat="false" ht="15" hidden="false" customHeight="false" outlineLevel="0" collapsed="false">
      <c r="A63" s="8" t="s">
        <v>94</v>
      </c>
      <c r="B63" s="8" t="s">
        <v>89</v>
      </c>
      <c r="C63" s="12" t="n">
        <v>0</v>
      </c>
      <c r="P63" s="4" t="n">
        <f aca="false">SUM(D63:O63)</f>
        <v>0</v>
      </c>
    </row>
    <row r="64" customFormat="false" ht="15" hidden="false" customHeight="false" outlineLevel="0" collapsed="false">
      <c r="A64" s="8" t="s">
        <v>95</v>
      </c>
      <c r="B64" s="8" t="s">
        <v>96</v>
      </c>
      <c r="C64" s="12" t="n">
        <v>3140</v>
      </c>
      <c r="O64" s="2" t="n">
        <v>3279.6</v>
      </c>
      <c r="P64" s="4" t="n">
        <f aca="false">SUM(D64:O64)</f>
        <v>3279.6</v>
      </c>
      <c r="R64" s="12" t="n">
        <v>4800</v>
      </c>
    </row>
    <row r="65" customFormat="false" ht="15" hidden="false" customHeight="false" outlineLevel="0" collapsed="false">
      <c r="A65" s="8" t="s">
        <v>97</v>
      </c>
      <c r="B65" s="8" t="s">
        <v>98</v>
      </c>
      <c r="C65" s="12" t="n">
        <v>15000</v>
      </c>
      <c r="D65" s="2" t="n">
        <f aca="false">1696.01-894.38</f>
        <v>801.63</v>
      </c>
      <c r="E65" s="2" t="n">
        <v>894.38</v>
      </c>
      <c r="F65" s="2" t="n">
        <v>1033.51</v>
      </c>
      <c r="G65" s="2" t="n">
        <v>927.51</v>
      </c>
      <c r="H65" s="2" t="n">
        <v>960.63</v>
      </c>
      <c r="I65" s="2" t="n">
        <v>914.25</v>
      </c>
      <c r="J65" s="2" t="n">
        <v>417.38</v>
      </c>
      <c r="L65" s="2" t="n">
        <v>583</v>
      </c>
      <c r="M65" s="2" t="n">
        <v>1119.48</v>
      </c>
      <c r="N65" s="2" t="n">
        <v>1590</v>
      </c>
      <c r="O65" s="2" t="n">
        <v>1060</v>
      </c>
      <c r="P65" s="4" t="n">
        <f aca="false">SUM(D65:O65)</f>
        <v>10301.77</v>
      </c>
      <c r="R65" s="12" t="n">
        <v>25000</v>
      </c>
    </row>
    <row r="66" customFormat="false" ht="15" hidden="false" customHeight="false" outlineLevel="0" collapsed="false">
      <c r="A66" s="8" t="s">
        <v>99</v>
      </c>
      <c r="B66" s="8" t="s">
        <v>100</v>
      </c>
      <c r="C66" s="12" t="n">
        <v>0</v>
      </c>
      <c r="P66" s="4" t="n">
        <f aca="false">SUM(D66:O66)</f>
        <v>0</v>
      </c>
      <c r="R66" s="12" t="n">
        <v>0</v>
      </c>
    </row>
    <row r="67" customFormat="false" ht="15" hidden="false" customHeight="false" outlineLevel="0" collapsed="false">
      <c r="A67" s="8" t="s">
        <v>101</v>
      </c>
      <c r="B67" s="8" t="s">
        <v>417</v>
      </c>
      <c r="C67" s="12" t="n">
        <v>0</v>
      </c>
      <c r="D67" s="2"/>
      <c r="E67" s="2"/>
      <c r="F67" s="2"/>
      <c r="G67" s="2"/>
      <c r="H67" s="2"/>
      <c r="I67" s="2"/>
      <c r="J67" s="2"/>
      <c r="K67" s="2" t="n">
        <v>0</v>
      </c>
      <c r="P67" s="4" t="n">
        <f aca="false">SUM(D67:O67)</f>
        <v>0</v>
      </c>
      <c r="R67" s="12" t="n">
        <v>0</v>
      </c>
    </row>
    <row r="68" customFormat="false" ht="15" hidden="false" customHeight="false" outlineLevel="0" collapsed="false">
      <c r="A68" s="8" t="s">
        <v>103</v>
      </c>
      <c r="B68" s="8" t="s">
        <v>104</v>
      </c>
      <c r="C68" s="12" t="n">
        <v>65000</v>
      </c>
      <c r="D68" s="2" t="n">
        <f aca="false">10993.87</f>
        <v>10993.87</v>
      </c>
      <c r="E68" s="2" t="n">
        <f aca="false">3737.55-218.32</f>
        <v>3519.23</v>
      </c>
      <c r="F68" s="2" t="n">
        <v>3232.29</v>
      </c>
      <c r="G68" s="2" t="n">
        <v>5740.26</v>
      </c>
      <c r="H68" s="2" t="n">
        <v>2510.66</v>
      </c>
      <c r="I68" s="2" t="n">
        <f aca="false">1753.11+2856.05+124.96</f>
        <v>4734.12</v>
      </c>
      <c r="J68" s="2" t="n">
        <v>1482.81</v>
      </c>
      <c r="K68" s="2" t="n">
        <v>1617.02</v>
      </c>
      <c r="L68" s="2" t="n">
        <v>2075.28</v>
      </c>
      <c r="M68" s="2" t="n">
        <f aca="false">1669.76+2381.04</f>
        <v>4050.8</v>
      </c>
      <c r="N68" s="2" t="n">
        <v>1477.11</v>
      </c>
      <c r="O68" s="2" t="n">
        <v>3767.66</v>
      </c>
      <c r="P68" s="4" t="n">
        <f aca="false">SUM(D68:O68)</f>
        <v>45201.11</v>
      </c>
      <c r="R68" s="12" t="n">
        <v>65000</v>
      </c>
    </row>
    <row r="69" customFormat="false" ht="15" hidden="false" customHeight="false" outlineLevel="0" collapsed="false">
      <c r="A69" s="8" t="s">
        <v>105</v>
      </c>
      <c r="B69" s="8" t="s">
        <v>106</v>
      </c>
      <c r="C69" s="12" t="n">
        <v>500</v>
      </c>
      <c r="D69" s="2" t="n">
        <f aca="false">76.85-38.71</f>
        <v>38.14</v>
      </c>
      <c r="E69" s="2" t="n">
        <v>38.71</v>
      </c>
      <c r="F69" s="2" t="n">
        <v>38.85</v>
      </c>
      <c r="G69" s="2" t="n">
        <v>38</v>
      </c>
      <c r="H69" s="2" t="n">
        <v>38.8</v>
      </c>
      <c r="I69" s="2" t="n">
        <v>218.65</v>
      </c>
      <c r="J69" s="2" t="n">
        <v>42.75</v>
      </c>
      <c r="K69" s="2" t="n">
        <v>130.53</v>
      </c>
      <c r="L69" s="2" t="n">
        <v>39.05</v>
      </c>
      <c r="M69" s="2" t="n">
        <v>45.17</v>
      </c>
      <c r="N69" s="2" t="n">
        <v>30.83</v>
      </c>
      <c r="O69" s="2" t="n">
        <f aca="false">754.48-699.48+31.34</f>
        <v>86.34</v>
      </c>
      <c r="P69" s="4" t="n">
        <f aca="false">SUM(D69:O69)</f>
        <v>785.82</v>
      </c>
      <c r="R69" s="12" t="n">
        <v>800</v>
      </c>
    </row>
    <row r="70" customFormat="false" ht="15" hidden="false" customHeight="false" outlineLevel="0" collapsed="false">
      <c r="A70" s="8" t="s">
        <v>108</v>
      </c>
      <c r="B70" s="8" t="s">
        <v>418</v>
      </c>
      <c r="C70" s="12" t="n">
        <v>12500</v>
      </c>
      <c r="D70" s="2" t="n">
        <f aca="false">438.08-219.96</f>
        <v>218.12</v>
      </c>
      <c r="E70" s="2" t="n">
        <v>219.96</v>
      </c>
      <c r="F70" s="2" t="n">
        <f aca="false">404.84+399.51</f>
        <v>804.35</v>
      </c>
      <c r="G70" s="2" t="n">
        <v>405.35</v>
      </c>
      <c r="H70" s="2" t="n">
        <v>657.15</v>
      </c>
      <c r="I70" s="2" t="n">
        <v>635.04</v>
      </c>
      <c r="J70" s="2" t="n">
        <v>831.83</v>
      </c>
      <c r="K70" s="2" t="n">
        <f aca="false">629.99+842.35</f>
        <v>1472.34</v>
      </c>
      <c r="L70" s="2" t="n">
        <v>710.55</v>
      </c>
      <c r="M70" s="2" t="n">
        <v>691.89</v>
      </c>
      <c r="N70" s="2" t="n">
        <v>2813.29</v>
      </c>
      <c r="O70" s="2" t="n">
        <v>495.7</v>
      </c>
      <c r="P70" s="4" t="n">
        <f aca="false">SUM(D70:O70)</f>
        <v>9955.57</v>
      </c>
      <c r="R70" s="12" t="n">
        <v>12500</v>
      </c>
    </row>
    <row r="71" customFormat="false" ht="15" hidden="false" customHeight="false" outlineLevel="0" collapsed="false">
      <c r="A71" s="8" t="s">
        <v>103</v>
      </c>
      <c r="B71" s="8" t="s">
        <v>110</v>
      </c>
      <c r="C71" s="12" t="n">
        <v>0</v>
      </c>
      <c r="P71" s="4" t="n">
        <f aca="false">SUM(D71:O71)</f>
        <v>0</v>
      </c>
      <c r="R71" s="12" t="n">
        <v>0</v>
      </c>
    </row>
    <row r="72" customFormat="false" ht="15" hidden="false" customHeight="false" outlineLevel="0" collapsed="false">
      <c r="A72" s="8" t="s">
        <v>111</v>
      </c>
      <c r="B72" s="8" t="s">
        <v>112</v>
      </c>
      <c r="C72" s="12" t="n">
        <v>10000</v>
      </c>
      <c r="D72" s="2" t="n">
        <f aca="false">259.29-143.57</f>
        <v>115.72</v>
      </c>
      <c r="E72" s="2" t="n">
        <f aca="false">143.57</f>
        <v>143.57</v>
      </c>
      <c r="F72" s="2" t="n">
        <v>123.7</v>
      </c>
      <c r="G72" s="2" t="n">
        <v>123.68</v>
      </c>
      <c r="H72" s="2" t="n">
        <v>124.09</v>
      </c>
      <c r="I72" s="2" t="n">
        <v>122.2</v>
      </c>
      <c r="J72" s="2" t="n">
        <v>146.34</v>
      </c>
      <c r="K72" s="2" t="n">
        <v>165.28</v>
      </c>
      <c r="L72" s="2" t="n">
        <v>197.05</v>
      </c>
      <c r="M72" s="2" t="n">
        <v>131.53</v>
      </c>
      <c r="N72" s="2" t="n">
        <v>281.77</v>
      </c>
      <c r="O72" s="2" t="n">
        <f aca="false">1717.87-1674.93+21.64</f>
        <v>64.5799999999998</v>
      </c>
      <c r="P72" s="4" t="n">
        <f aca="false">SUM(D72:O72)</f>
        <v>1739.51</v>
      </c>
      <c r="R72" s="12" t="n">
        <v>10000</v>
      </c>
    </row>
    <row r="73" customFormat="false" ht="15" hidden="false" customHeight="false" outlineLevel="0" collapsed="false">
      <c r="A73" s="8" t="s">
        <v>113</v>
      </c>
      <c r="B73" s="8" t="s">
        <v>114</v>
      </c>
      <c r="C73" s="12" t="n">
        <v>3500</v>
      </c>
      <c r="D73" s="2" t="n">
        <v>48.62</v>
      </c>
      <c r="F73" s="2" t="n">
        <v>96.81</v>
      </c>
      <c r="G73" s="2" t="n">
        <f aca="false">32.03+1443.38</f>
        <v>1475.41</v>
      </c>
      <c r="H73" s="2" t="n">
        <v>375.8</v>
      </c>
      <c r="I73" s="2" t="n">
        <v>104</v>
      </c>
      <c r="J73" s="2" t="n">
        <v>188.46</v>
      </c>
      <c r="K73" s="2" t="n">
        <v>368.86</v>
      </c>
      <c r="L73" s="2" t="n">
        <v>29.39</v>
      </c>
      <c r="M73" s="2" t="n">
        <v>124.75</v>
      </c>
      <c r="P73" s="4" t="n">
        <f aca="false">SUM(D73:O73)</f>
        <v>2812.1</v>
      </c>
      <c r="R73" s="12" t="n">
        <v>3500</v>
      </c>
    </row>
    <row r="74" customFormat="false" ht="15" hidden="false" customHeight="false" outlineLevel="0" collapsed="false">
      <c r="A74" s="8" t="s">
        <v>115</v>
      </c>
      <c r="B74" s="8" t="s">
        <v>109</v>
      </c>
      <c r="C74" s="12" t="n">
        <v>0</v>
      </c>
      <c r="P74" s="4" t="n">
        <f aca="false">SUM(D74:O74)</f>
        <v>0</v>
      </c>
      <c r="R74" s="12" t="n">
        <v>0</v>
      </c>
    </row>
    <row r="75" customFormat="false" ht="15" hidden="false" customHeight="false" outlineLevel="0" collapsed="false">
      <c r="A75" s="8" t="s">
        <v>116</v>
      </c>
      <c r="B75" s="8" t="s">
        <v>117</v>
      </c>
      <c r="C75" s="12" t="n">
        <v>42000</v>
      </c>
      <c r="G75" s="2" t="n">
        <v>326.7</v>
      </c>
      <c r="H75" s="2" t="n">
        <v>13.2</v>
      </c>
      <c r="I75" s="2" t="n">
        <v>987</v>
      </c>
      <c r="L75" s="2" t="n">
        <v>41885.86</v>
      </c>
      <c r="M75" s="2" t="n">
        <v>301.4</v>
      </c>
      <c r="O75" s="2" t="n">
        <v>-1800</v>
      </c>
      <c r="P75" s="4" t="n">
        <f aca="false">SUM(D75:O75)</f>
        <v>41714.16</v>
      </c>
      <c r="R75" s="12" t="n">
        <v>43000</v>
      </c>
    </row>
    <row r="76" customFormat="false" ht="15" hidden="false" customHeight="false" outlineLevel="0" collapsed="false">
      <c r="A76" s="8" t="s">
        <v>118</v>
      </c>
      <c r="B76" s="8" t="s">
        <v>119</v>
      </c>
      <c r="C76" s="12" t="n">
        <v>1800</v>
      </c>
      <c r="O76" s="2" t="n">
        <v>1800</v>
      </c>
      <c r="P76" s="4" t="n">
        <f aca="false">SUM(D76:O76)</f>
        <v>1800</v>
      </c>
      <c r="R76" s="12" t="n">
        <v>2000</v>
      </c>
    </row>
    <row r="77" customFormat="false" ht="15" hidden="false" customHeight="false" outlineLevel="0" collapsed="false">
      <c r="A77" s="8" t="s">
        <v>419</v>
      </c>
      <c r="B77" s="8" t="s">
        <v>121</v>
      </c>
      <c r="C77" s="12" t="n">
        <v>1500</v>
      </c>
      <c r="D77" s="2" t="n">
        <v>1301</v>
      </c>
      <c r="P77" s="4" t="n">
        <f aca="false">SUM(D77:O77)</f>
        <v>1301</v>
      </c>
      <c r="R77" s="12" t="n">
        <v>1500</v>
      </c>
    </row>
    <row r="78" customFormat="false" ht="15" hidden="false" customHeight="false" outlineLevel="0" collapsed="false">
      <c r="A78" s="8" t="s">
        <v>122</v>
      </c>
      <c r="B78" s="8" t="s">
        <v>123</v>
      </c>
      <c r="C78" s="12" t="n">
        <v>1000</v>
      </c>
      <c r="P78" s="4" t="n">
        <f aca="false">SUM(D78:O78)</f>
        <v>0</v>
      </c>
      <c r="R78" s="12" t="n">
        <v>1000</v>
      </c>
    </row>
    <row r="79" customFormat="false" ht="15" hidden="false" customHeight="false" outlineLevel="0" collapsed="false">
      <c r="A79" s="8" t="s">
        <v>420</v>
      </c>
      <c r="B79" s="8" t="s">
        <v>421</v>
      </c>
      <c r="C79" s="12"/>
      <c r="O79" s="0" t="n">
        <v>5000</v>
      </c>
      <c r="P79" s="4" t="n">
        <f aca="false">SUM(D79:O79)</f>
        <v>5000</v>
      </c>
      <c r="R79" s="12"/>
    </row>
    <row r="80" customFormat="false" ht="15" hidden="false" customHeight="false" outlineLevel="0" collapsed="false">
      <c r="A80" s="8" t="s">
        <v>124</v>
      </c>
      <c r="B80" s="8" t="s">
        <v>125</v>
      </c>
      <c r="C80" s="12" t="n">
        <v>400</v>
      </c>
      <c r="D80" s="2" t="n">
        <v>144.06</v>
      </c>
      <c r="L80" s="2" t="n">
        <v>111.58</v>
      </c>
      <c r="P80" s="4" t="n">
        <f aca="false">SUM(D80:O80)</f>
        <v>255.64</v>
      </c>
      <c r="R80" s="12" t="n">
        <v>400</v>
      </c>
    </row>
    <row r="81" customFormat="false" ht="15" hidden="false" customHeight="false" outlineLevel="0" collapsed="false">
      <c r="A81" s="8" t="s">
        <v>126</v>
      </c>
      <c r="B81" s="8" t="s">
        <v>127</v>
      </c>
      <c r="C81" s="12" t="n">
        <v>15000</v>
      </c>
      <c r="O81" s="2" t="n">
        <v>4200</v>
      </c>
      <c r="P81" s="4" t="n">
        <f aca="false">SUM(D81:O81)</f>
        <v>4200</v>
      </c>
      <c r="R81" s="12" t="n">
        <v>15000</v>
      </c>
    </row>
    <row r="82" customFormat="false" ht="15" hidden="false" customHeight="false" outlineLevel="0" collapsed="false">
      <c r="A82" s="8" t="s">
        <v>129</v>
      </c>
      <c r="B82" s="8" t="s">
        <v>130</v>
      </c>
      <c r="C82" s="12" t="n">
        <v>6000</v>
      </c>
      <c r="I82" s="0" t="n">
        <v>2790.8</v>
      </c>
      <c r="K82" s="2" t="n">
        <v>1347.25</v>
      </c>
      <c r="M82" s="2" t="n">
        <v>250</v>
      </c>
      <c r="N82" s="2" t="n">
        <v>138.52</v>
      </c>
      <c r="O82" s="2" t="n">
        <v>-34.63</v>
      </c>
      <c r="P82" s="4" t="n">
        <f aca="false">SUM(D82:O82)</f>
        <v>4491.94</v>
      </c>
      <c r="R82" s="12" t="n">
        <v>6000</v>
      </c>
    </row>
    <row r="83" customFormat="false" ht="15" hidden="false" customHeight="false" outlineLevel="0" collapsed="false">
      <c r="A83" s="8" t="s">
        <v>131</v>
      </c>
      <c r="B83" s="8" t="s">
        <v>132</v>
      </c>
      <c r="C83" s="12" t="n">
        <v>5698</v>
      </c>
      <c r="D83" s="2" t="n">
        <v>474.83</v>
      </c>
      <c r="E83" s="2" t="n">
        <v>474.83</v>
      </c>
      <c r="F83" s="2" t="n">
        <v>474.83</v>
      </c>
      <c r="G83" s="2" t="n">
        <v>474.83</v>
      </c>
      <c r="H83" s="2" t="n">
        <v>474.83</v>
      </c>
      <c r="I83" s="2" t="n">
        <v>474.83</v>
      </c>
      <c r="J83" s="2" t="n">
        <v>474.83</v>
      </c>
      <c r="K83" s="2" t="n">
        <v>474.83</v>
      </c>
      <c r="L83" s="2" t="n">
        <v>474.83</v>
      </c>
      <c r="M83" s="2" t="n">
        <v>474.83</v>
      </c>
      <c r="N83" s="2" t="n">
        <v>474.83</v>
      </c>
      <c r="O83" s="2" t="n">
        <v>474.83</v>
      </c>
      <c r="P83" s="4" t="n">
        <f aca="false">SUM(D83:O83)</f>
        <v>5697.96</v>
      </c>
      <c r="R83" s="12" t="n">
        <v>5869</v>
      </c>
    </row>
    <row r="84" customFormat="false" ht="15" hidden="false" customHeight="false" outlineLevel="0" collapsed="false">
      <c r="A84" s="8" t="s">
        <v>133</v>
      </c>
      <c r="B84" s="8" t="s">
        <v>134</v>
      </c>
      <c r="C84" s="12" t="n">
        <v>500</v>
      </c>
      <c r="O84" s="2"/>
      <c r="P84" s="4" t="n">
        <f aca="false">SUM(D84:O84)</f>
        <v>0</v>
      </c>
      <c r="R84" s="12" t="n">
        <v>500</v>
      </c>
    </row>
    <row r="85" customFormat="false" ht="15" hidden="false" customHeight="false" outlineLevel="0" collapsed="false">
      <c r="A85" s="8" t="s">
        <v>135</v>
      </c>
      <c r="B85" s="8" t="s">
        <v>136</v>
      </c>
      <c r="C85" s="12" t="n">
        <v>2100</v>
      </c>
      <c r="D85" s="2" t="n">
        <v>525</v>
      </c>
      <c r="F85" s="2" t="n">
        <v>525</v>
      </c>
      <c r="K85" s="2" t="n">
        <v>525</v>
      </c>
      <c r="N85" s="2" t="n">
        <v>525</v>
      </c>
      <c r="P85" s="4" t="n">
        <f aca="false">SUM(D85:O85)</f>
        <v>2100</v>
      </c>
      <c r="R85" s="12" t="n">
        <v>2100</v>
      </c>
    </row>
    <row r="86" customFormat="false" ht="15" hidden="false" customHeight="false" outlineLevel="0" collapsed="false">
      <c r="A86" s="8" t="s">
        <v>137</v>
      </c>
      <c r="B86" s="8" t="s">
        <v>138</v>
      </c>
      <c r="C86" s="12" t="n">
        <v>30000</v>
      </c>
      <c r="D86" s="2" t="n">
        <f aca="false">3908.85-2286.6</f>
        <v>1622.25</v>
      </c>
      <c r="E86" s="2" t="n">
        <v>2286.6</v>
      </c>
      <c r="F86" s="2" t="n">
        <v>1854</v>
      </c>
      <c r="G86" s="2" t="n">
        <v>1977.6</v>
      </c>
      <c r="H86" s="2" t="n">
        <v>3708</v>
      </c>
      <c r="I86" s="2" t="n">
        <v>2317.5</v>
      </c>
      <c r="J86" s="2" t="n">
        <v>2456.55</v>
      </c>
      <c r="K86" s="2" t="n">
        <v>2394.75</v>
      </c>
      <c r="L86" s="2" t="n">
        <v>834.3</v>
      </c>
      <c r="M86" s="2" t="n">
        <v>2487.45</v>
      </c>
      <c r="N86" s="2" t="n">
        <v>2410.2</v>
      </c>
      <c r="O86" s="2" t="n">
        <v>2302.05</v>
      </c>
      <c r="P86" s="4" t="n">
        <f aca="false">SUM(D86:O86)</f>
        <v>26651.25</v>
      </c>
      <c r="R86" s="12" t="n">
        <v>28000</v>
      </c>
    </row>
    <row r="87" customFormat="false" ht="15" hidden="false" customHeight="false" outlineLevel="0" collapsed="false">
      <c r="A87" s="8" t="s">
        <v>139</v>
      </c>
      <c r="B87" s="8" t="s">
        <v>140</v>
      </c>
      <c r="C87" s="12" t="n">
        <v>8000</v>
      </c>
      <c r="D87" s="2" t="n">
        <f aca="false">1145.43-797.94</f>
        <v>347.49</v>
      </c>
      <c r="E87" s="2" t="n">
        <v>797.94</v>
      </c>
      <c r="F87" s="2" t="n">
        <v>649.94</v>
      </c>
      <c r="G87" s="2" t="n">
        <v>836.55</v>
      </c>
      <c r="H87" s="2" t="n">
        <v>263.84</v>
      </c>
      <c r="I87" s="2" t="n">
        <v>566.28</v>
      </c>
      <c r="J87" s="2" t="n">
        <v>489.06</v>
      </c>
      <c r="K87" s="2" t="n">
        <v>501.93</v>
      </c>
      <c r="L87" s="2" t="n">
        <v>276.71</v>
      </c>
      <c r="M87" s="2" t="n">
        <v>431.15</v>
      </c>
      <c r="N87" s="2" t="n">
        <v>849.43</v>
      </c>
      <c r="O87" s="2" t="n">
        <v>855.86</v>
      </c>
      <c r="P87" s="4" t="n">
        <f aca="false">SUM(D87:O87)</f>
        <v>6866.18</v>
      </c>
      <c r="R87" s="12" t="n">
        <v>8000</v>
      </c>
    </row>
    <row r="88" customFormat="false" ht="15" hidden="false" customHeight="false" outlineLevel="0" collapsed="false">
      <c r="A88" s="8" t="s">
        <v>422</v>
      </c>
      <c r="B88" s="8" t="s">
        <v>423</v>
      </c>
      <c r="C88" s="12" t="n">
        <v>10000</v>
      </c>
      <c r="G88" s="2" t="n">
        <v>133.9</v>
      </c>
      <c r="H88" s="2" t="n">
        <v>1256.6</v>
      </c>
      <c r="I88" s="2" t="n">
        <v>1668.6</v>
      </c>
      <c r="J88" s="2" t="n">
        <v>1328.7</v>
      </c>
      <c r="K88" s="2" t="n">
        <v>1266.9</v>
      </c>
      <c r="L88" s="2" t="n">
        <v>1256.6</v>
      </c>
      <c r="M88" s="2" t="n">
        <v>576.8</v>
      </c>
      <c r="N88" s="2" t="n">
        <v>288.4</v>
      </c>
      <c r="O88" s="2" t="n">
        <v>0</v>
      </c>
      <c r="P88" s="4" t="n">
        <f aca="false">SUM(D88:O88)</f>
        <v>7776.5</v>
      </c>
      <c r="R88" s="12" t="n">
        <v>28000</v>
      </c>
    </row>
    <row r="89" customFormat="false" ht="15" hidden="false" customHeight="false" outlineLevel="0" collapsed="false">
      <c r="A89" s="8" t="s">
        <v>141</v>
      </c>
      <c r="B89" s="8" t="s">
        <v>142</v>
      </c>
      <c r="C89" s="12" t="n">
        <v>0</v>
      </c>
      <c r="F89" s="2"/>
      <c r="G89" s="2"/>
      <c r="I89" s="2"/>
      <c r="J89" s="2"/>
      <c r="O89" s="2" t="n">
        <v>0</v>
      </c>
      <c r="P89" s="4" t="n">
        <f aca="false">SUM(D89:O89)</f>
        <v>0</v>
      </c>
      <c r="R89" s="12" t="n">
        <v>0</v>
      </c>
    </row>
    <row r="90" customFormat="false" ht="15" hidden="false" customHeight="false" outlineLevel="0" collapsed="false">
      <c r="A90" s="8" t="s">
        <v>143</v>
      </c>
      <c r="B90" s="8" t="s">
        <v>144</v>
      </c>
      <c r="C90" s="12" t="n">
        <v>5000</v>
      </c>
      <c r="D90" s="2" t="n">
        <f aca="false">1829.39-88.55</f>
        <v>1740.84</v>
      </c>
      <c r="E90" s="2" t="n">
        <v>88.55</v>
      </c>
      <c r="F90" s="2" t="n">
        <v>1069.95</v>
      </c>
      <c r="G90" s="2" t="n">
        <v>150.7</v>
      </c>
      <c r="H90" s="2" t="n">
        <v>50.93</v>
      </c>
      <c r="I90" s="2" t="n">
        <v>75.28</v>
      </c>
      <c r="J90" s="2" t="n">
        <v>75.28</v>
      </c>
      <c r="K90" s="2" t="n">
        <v>109.36</v>
      </c>
      <c r="L90" s="2" t="n">
        <v>75.18</v>
      </c>
      <c r="M90" s="2" t="n">
        <v>239.18</v>
      </c>
      <c r="N90" s="2" t="n">
        <v>104.75</v>
      </c>
      <c r="O90" s="2" t="n">
        <v>635.7</v>
      </c>
      <c r="P90" s="4" t="n">
        <f aca="false">SUM(D90:O90)</f>
        <v>4415.7</v>
      </c>
      <c r="R90" s="12" t="n">
        <v>5000</v>
      </c>
    </row>
    <row r="91" customFormat="false" ht="15" hidden="false" customHeight="false" outlineLevel="0" collapsed="false">
      <c r="A91" s="8" t="s">
        <v>424</v>
      </c>
      <c r="B91" s="8" t="s">
        <v>425</v>
      </c>
      <c r="C91" s="12" t="n">
        <v>20000</v>
      </c>
      <c r="P91" s="4" t="n">
        <f aca="false">SUM(D91:O91)</f>
        <v>0</v>
      </c>
      <c r="R91" s="12" t="n">
        <v>20000</v>
      </c>
    </row>
    <row r="92" customFormat="false" ht="15" hidden="false" customHeight="false" outlineLevel="0" collapsed="false">
      <c r="A92" s="8" t="s">
        <v>149</v>
      </c>
      <c r="B92" s="8" t="s">
        <v>426</v>
      </c>
      <c r="C92" s="12" t="n">
        <v>0</v>
      </c>
      <c r="P92" s="4" t="n">
        <f aca="false">SUM(D92:O92)</f>
        <v>0</v>
      </c>
      <c r="R92" s="12" t="n">
        <v>0</v>
      </c>
    </row>
    <row r="93" customFormat="false" ht="15" hidden="false" customHeight="false" outlineLevel="0" collapsed="false">
      <c r="A93" s="8" t="s">
        <v>147</v>
      </c>
      <c r="B93" s="8" t="s">
        <v>148</v>
      </c>
      <c r="C93" s="12" t="n">
        <v>500</v>
      </c>
      <c r="P93" s="4" t="n">
        <f aca="false">SUM(D93:O93)</f>
        <v>0</v>
      </c>
      <c r="R93" s="12" t="n">
        <v>500</v>
      </c>
    </row>
    <row r="94" customFormat="false" ht="15" hidden="false" customHeight="false" outlineLevel="0" collapsed="false">
      <c r="A94" s="8" t="s">
        <v>149</v>
      </c>
      <c r="B94" s="8" t="s">
        <v>150</v>
      </c>
      <c r="C94" s="12" t="n">
        <v>773</v>
      </c>
      <c r="D94" s="2" t="n">
        <v>59.46</v>
      </c>
      <c r="E94" s="2" t="n">
        <v>59.46</v>
      </c>
      <c r="F94" s="2" t="n">
        <v>59.46</v>
      </c>
      <c r="G94" s="2" t="n">
        <v>59.46</v>
      </c>
      <c r="H94" s="2" t="n">
        <v>89.19</v>
      </c>
      <c r="I94" s="2" t="n">
        <v>59.46</v>
      </c>
      <c r="J94" s="2" t="n">
        <v>59.46</v>
      </c>
      <c r="K94" s="2" t="n">
        <v>59.46</v>
      </c>
      <c r="L94" s="2" t="n">
        <v>59.46</v>
      </c>
      <c r="M94" s="2" t="n">
        <v>59.46</v>
      </c>
      <c r="N94" s="2" t="n">
        <v>89.19</v>
      </c>
      <c r="O94" s="2" t="n">
        <v>59.46</v>
      </c>
      <c r="P94" s="4" t="n">
        <f aca="false">SUM(D94:O94)</f>
        <v>772.98</v>
      </c>
      <c r="R94" s="12" t="n">
        <v>796</v>
      </c>
    </row>
    <row r="95" customFormat="false" ht="15" hidden="false" customHeight="false" outlineLevel="0" collapsed="false">
      <c r="A95" s="8" t="s">
        <v>427</v>
      </c>
      <c r="B95" s="8" t="s">
        <v>428</v>
      </c>
      <c r="C95" s="12" t="n">
        <v>50</v>
      </c>
      <c r="P95" s="4" t="n">
        <f aca="false">SUM(D95:O95)</f>
        <v>0</v>
      </c>
      <c r="R95" s="12" t="n">
        <v>50</v>
      </c>
    </row>
    <row r="96" customFormat="false" ht="15" hidden="false" customHeight="false" outlineLevel="0" collapsed="false">
      <c r="A96" s="8" t="s">
        <v>151</v>
      </c>
      <c r="B96" s="8" t="s">
        <v>152</v>
      </c>
      <c r="C96" s="12" t="n">
        <v>15680</v>
      </c>
      <c r="D96" s="2" t="n">
        <v>1206.16</v>
      </c>
      <c r="E96" s="2" t="n">
        <v>1206.16</v>
      </c>
      <c r="F96" s="2" t="n">
        <v>1206.16</v>
      </c>
      <c r="G96" s="2" t="n">
        <v>1206.16</v>
      </c>
      <c r="H96" s="2" t="n">
        <v>1809.24</v>
      </c>
      <c r="I96" s="2" t="n">
        <v>1206.16</v>
      </c>
      <c r="J96" s="2" t="n">
        <v>1206.16</v>
      </c>
      <c r="K96" s="2" t="n">
        <v>1206.16</v>
      </c>
      <c r="L96" s="2" t="n">
        <v>1206.16</v>
      </c>
      <c r="M96" s="2" t="n">
        <v>1206.16</v>
      </c>
      <c r="N96" s="2" t="n">
        <v>1809.24</v>
      </c>
      <c r="O96" s="2" t="n">
        <v>1206.16</v>
      </c>
      <c r="P96" s="4" t="n">
        <f aca="false">SUM(D96:O96)</f>
        <v>15680.08</v>
      </c>
      <c r="R96" s="12" t="n">
        <v>16150</v>
      </c>
    </row>
    <row r="97" customFormat="false" ht="15" hidden="false" customHeight="false" outlineLevel="0" collapsed="false">
      <c r="A97" s="8" t="s">
        <v>153</v>
      </c>
      <c r="B97" s="8" t="s">
        <v>154</v>
      </c>
      <c r="C97" s="12" t="n">
        <v>10353</v>
      </c>
      <c r="G97" s="2" t="n">
        <v>1610.66</v>
      </c>
      <c r="H97" s="2" t="n">
        <v>1982.41</v>
      </c>
      <c r="I97" s="2" t="n">
        <v>1289.73</v>
      </c>
      <c r="J97" s="2" t="n">
        <v>741.75</v>
      </c>
      <c r="K97" s="2" t="n">
        <v>48.44</v>
      </c>
      <c r="P97" s="4" t="n">
        <f aca="false">SUM(D97:O97)</f>
        <v>5672.99</v>
      </c>
      <c r="R97" s="12" t="n">
        <v>10560</v>
      </c>
    </row>
    <row r="98" customFormat="false" ht="15" hidden="false" customHeight="false" outlineLevel="0" collapsed="false">
      <c r="A98" s="8" t="s">
        <v>155</v>
      </c>
      <c r="B98" s="8" t="s">
        <v>156</v>
      </c>
      <c r="C98" s="12" t="n">
        <v>6500</v>
      </c>
      <c r="G98" s="2" t="n">
        <v>435.95</v>
      </c>
      <c r="J98" s="2" t="n">
        <v>549.3</v>
      </c>
      <c r="K98" s="2" t="n">
        <v>285.36</v>
      </c>
      <c r="N98" s="2" t="n">
        <v>2360</v>
      </c>
      <c r="O98" s="2" t="n">
        <v>2551</v>
      </c>
      <c r="P98" s="4" t="n">
        <f aca="false">SUM(D98:O98)</f>
        <v>6181.61</v>
      </c>
      <c r="R98" s="12" t="n">
        <v>6500</v>
      </c>
    </row>
    <row r="99" customFormat="false" ht="15" hidden="false" customHeight="false" outlineLevel="0" collapsed="false">
      <c r="A99" s="8" t="s">
        <v>157</v>
      </c>
      <c r="B99" s="8" t="s">
        <v>158</v>
      </c>
      <c r="C99" s="12" t="n">
        <v>0</v>
      </c>
      <c r="P99" s="4" t="n">
        <f aca="false">SUM(D99:O99)</f>
        <v>0</v>
      </c>
    </row>
    <row r="100" customFormat="false" ht="15" hidden="false" customHeight="false" outlineLevel="0" collapsed="false">
      <c r="A100" s="8" t="s">
        <v>429</v>
      </c>
      <c r="B100" s="8" t="s">
        <v>430</v>
      </c>
      <c r="C100" s="12"/>
      <c r="P100" s="4"/>
      <c r="R100" s="12" t="n">
        <v>5000</v>
      </c>
    </row>
    <row r="101" customFormat="false" ht="15" hidden="false" customHeight="false" outlineLevel="0" collapsed="false">
      <c r="A101" s="8" t="s">
        <v>159</v>
      </c>
      <c r="B101" s="8" t="s">
        <v>160</v>
      </c>
      <c r="C101" s="12" t="n">
        <v>45328</v>
      </c>
      <c r="D101" s="2" t="n">
        <v>3486.76</v>
      </c>
      <c r="E101" s="2" t="n">
        <v>3486.76</v>
      </c>
      <c r="F101" s="2" t="n">
        <v>3486.76</v>
      </c>
      <c r="G101" s="2" t="n">
        <v>3486.76</v>
      </c>
      <c r="H101" s="2" t="n">
        <v>5230.14</v>
      </c>
      <c r="I101" s="2" t="n">
        <v>3486.76</v>
      </c>
      <c r="J101" s="2" t="n">
        <v>3486.76</v>
      </c>
      <c r="K101" s="2" t="n">
        <v>3486.76</v>
      </c>
      <c r="L101" s="2" t="n">
        <v>3486.76</v>
      </c>
      <c r="M101" s="2" t="n">
        <v>3486.76</v>
      </c>
      <c r="N101" s="2" t="n">
        <v>5230.14</v>
      </c>
      <c r="O101" s="2" t="n">
        <v>3486.76</v>
      </c>
      <c r="P101" s="4" t="n">
        <f aca="false">SUM(D101:O101)</f>
        <v>45327.88</v>
      </c>
      <c r="R101" s="12" t="n">
        <v>46688</v>
      </c>
    </row>
    <row r="102" customFormat="false" ht="15" hidden="false" customHeight="false" outlineLevel="0" collapsed="false">
      <c r="A102" s="8" t="s">
        <v>161</v>
      </c>
      <c r="B102" s="8" t="s">
        <v>162</v>
      </c>
      <c r="C102" s="12" t="n">
        <v>2144</v>
      </c>
      <c r="N102" s="2" t="n">
        <v>2144</v>
      </c>
      <c r="P102" s="4" t="n">
        <f aca="false">SUM(D102:O102)</f>
        <v>2144</v>
      </c>
      <c r="R102" s="12" t="n">
        <v>2208</v>
      </c>
    </row>
    <row r="103" customFormat="false" ht="15" hidden="false" customHeight="false" outlineLevel="0" collapsed="false">
      <c r="A103" s="8" t="s">
        <v>163</v>
      </c>
      <c r="B103" s="8" t="s">
        <v>164</v>
      </c>
      <c r="C103" s="12" t="n">
        <v>2144</v>
      </c>
      <c r="D103" s="2" t="n">
        <v>164.92</v>
      </c>
      <c r="E103" s="2" t="n">
        <v>164.92</v>
      </c>
      <c r="F103" s="2" t="n">
        <v>164.92</v>
      </c>
      <c r="G103" s="2" t="n">
        <v>164.92</v>
      </c>
      <c r="H103" s="2" t="n">
        <v>247.38</v>
      </c>
      <c r="I103" s="2" t="n">
        <v>164.92</v>
      </c>
      <c r="J103" s="2" t="n">
        <v>164.92</v>
      </c>
      <c r="K103" s="2" t="n">
        <v>164.92</v>
      </c>
      <c r="L103" s="2" t="n">
        <v>164.92</v>
      </c>
      <c r="M103" s="2" t="n">
        <v>164.92</v>
      </c>
      <c r="N103" s="2" t="n">
        <v>247.38</v>
      </c>
      <c r="O103" s="2" t="n">
        <v>164.92</v>
      </c>
      <c r="P103" s="4" t="n">
        <f aca="false">SUM(D103:O103)</f>
        <v>2143.96</v>
      </c>
      <c r="R103" s="12" t="n">
        <v>2208</v>
      </c>
    </row>
    <row r="104" customFormat="false" ht="15" hidden="false" customHeight="false" outlineLevel="0" collapsed="false">
      <c r="A104" s="8" t="s">
        <v>165</v>
      </c>
      <c r="B104" s="8" t="s">
        <v>87</v>
      </c>
      <c r="C104" s="12" t="n">
        <v>0</v>
      </c>
      <c r="P104" s="4" t="n">
        <f aca="false">SUM(D104:O104)</f>
        <v>0</v>
      </c>
      <c r="R104" s="12" t="n">
        <v>0</v>
      </c>
    </row>
    <row r="105" customFormat="false" ht="15" hidden="false" customHeight="false" outlineLevel="0" collapsed="false">
      <c r="A105" s="8" t="s">
        <v>166</v>
      </c>
      <c r="B105" s="8" t="s">
        <v>167</v>
      </c>
      <c r="C105" s="12" t="n">
        <v>1000</v>
      </c>
      <c r="D105" s="2" t="n">
        <v>275</v>
      </c>
      <c r="F105" s="2" t="n">
        <v>41.99</v>
      </c>
      <c r="I105" s="2" t="n">
        <v>1.15</v>
      </c>
      <c r="J105" s="0" t="n">
        <v>164.92</v>
      </c>
      <c r="K105" s="0" t="n">
        <v>-164.92</v>
      </c>
      <c r="M105" s="2" t="n">
        <v>4.8</v>
      </c>
      <c r="N105" s="2" t="n">
        <v>15.08</v>
      </c>
      <c r="O105" s="2" t="n">
        <v>62</v>
      </c>
      <c r="P105" s="4" t="n">
        <f aca="false">SUM(D105:O105)</f>
        <v>400.02</v>
      </c>
      <c r="R105" s="12" t="n">
        <v>1000</v>
      </c>
    </row>
    <row r="106" customFormat="false" ht="15" hidden="false" customHeight="false" outlineLevel="0" collapsed="false">
      <c r="A106" s="8" t="s">
        <v>168</v>
      </c>
      <c r="B106" s="8" t="s">
        <v>169</v>
      </c>
      <c r="C106" s="12" t="n">
        <v>25000</v>
      </c>
      <c r="D106" s="2" t="n">
        <f aca="false">3167.91+1187.26</f>
        <v>4355.17</v>
      </c>
      <c r="E106" s="2" t="n">
        <v>2090.56</v>
      </c>
      <c r="F106" s="2" t="n">
        <v>1370.95</v>
      </c>
      <c r="G106" s="2" t="n">
        <v>1311.17</v>
      </c>
      <c r="H106" s="2" t="n">
        <v>843.68</v>
      </c>
      <c r="I106" s="2" t="n">
        <v>256.84</v>
      </c>
      <c r="J106" s="2" t="n">
        <v>291.46</v>
      </c>
      <c r="K106" s="2" t="n">
        <v>428.95</v>
      </c>
      <c r="L106" s="2" t="n">
        <f aca="false">376.11+2458.83</f>
        <v>2834.94</v>
      </c>
      <c r="M106" s="2" t="n">
        <v>440.04</v>
      </c>
      <c r="N106" s="2" t="n">
        <v>946.85</v>
      </c>
      <c r="O106" s="2" t="n">
        <v>1677.79</v>
      </c>
      <c r="P106" s="4" t="n">
        <f aca="false">SUM(D106:O106)</f>
        <v>16848.4</v>
      </c>
      <c r="R106" s="12" t="n">
        <v>25000</v>
      </c>
    </row>
    <row r="107" customFormat="false" ht="15" hidden="false" customHeight="false" outlineLevel="0" collapsed="false">
      <c r="A107" s="8" t="s">
        <v>170</v>
      </c>
      <c r="B107" s="8" t="s">
        <v>171</v>
      </c>
      <c r="C107" s="12" t="n">
        <v>45000</v>
      </c>
      <c r="D107" s="2" t="n">
        <v>7288.11</v>
      </c>
      <c r="F107" s="2" t="n">
        <v>3317.1</v>
      </c>
      <c r="G107" s="2" t="n">
        <v>6148.91</v>
      </c>
      <c r="I107" s="2" t="n">
        <v>2645.25</v>
      </c>
      <c r="J107" s="2" t="n">
        <v>5040.99</v>
      </c>
      <c r="L107" s="2" t="n">
        <v>2736.32</v>
      </c>
      <c r="M107" s="2" t="n">
        <v>6269.79</v>
      </c>
      <c r="O107" s="2" t="n">
        <v>3486.95</v>
      </c>
      <c r="P107" s="4" t="n">
        <f aca="false">SUM(D107:O107)</f>
        <v>36933.42</v>
      </c>
      <c r="R107" s="12" t="n">
        <v>38000</v>
      </c>
    </row>
    <row r="108" customFormat="false" ht="15" hidden="false" customHeight="false" outlineLevel="0" collapsed="false">
      <c r="A108" s="8" t="s">
        <v>172</v>
      </c>
      <c r="B108" s="8" t="s">
        <v>109</v>
      </c>
      <c r="C108" s="12" t="n">
        <v>2000</v>
      </c>
      <c r="F108" s="2" t="n">
        <v>49.8</v>
      </c>
      <c r="M108" s="2" t="n">
        <f aca="false">13.8</f>
        <v>13.8</v>
      </c>
      <c r="N108" s="2" t="n">
        <v>9.77</v>
      </c>
      <c r="P108" s="4" t="n">
        <f aca="false">SUM(D108:O108)</f>
        <v>73.37</v>
      </c>
      <c r="R108" s="12" t="n">
        <v>2000</v>
      </c>
    </row>
    <row r="109" customFormat="false" ht="15" hidden="false" customHeight="false" outlineLevel="0" collapsed="false">
      <c r="A109" s="8" t="s">
        <v>173</v>
      </c>
      <c r="B109" s="8" t="s">
        <v>174</v>
      </c>
      <c r="C109" s="12" t="n">
        <v>2000</v>
      </c>
      <c r="G109" s="2" t="n">
        <v>65</v>
      </c>
      <c r="I109" s="2" t="n">
        <v>107</v>
      </c>
      <c r="J109" s="2" t="n">
        <v>269</v>
      </c>
      <c r="K109" s="2" t="n">
        <v>107</v>
      </c>
      <c r="L109" s="2" t="n">
        <v>107</v>
      </c>
      <c r="P109" s="4" t="n">
        <f aca="false">SUM(D109:O109)</f>
        <v>655</v>
      </c>
      <c r="R109" s="12" t="n">
        <v>2000</v>
      </c>
    </row>
    <row r="110" customFormat="false" ht="15" hidden="false" customHeight="false" outlineLevel="0" collapsed="false">
      <c r="A110" s="8" t="s">
        <v>175</v>
      </c>
      <c r="B110" s="8" t="s">
        <v>176</v>
      </c>
      <c r="C110" s="12" t="n">
        <v>750</v>
      </c>
      <c r="K110" s="2" t="n">
        <v>150</v>
      </c>
      <c r="P110" s="4" t="n">
        <f aca="false">SUM(D110:O110)</f>
        <v>150</v>
      </c>
      <c r="R110" s="12" t="n">
        <v>750</v>
      </c>
    </row>
    <row r="111" customFormat="false" ht="15" hidden="false" customHeight="false" outlineLevel="0" collapsed="false">
      <c r="A111" s="8" t="s">
        <v>177</v>
      </c>
      <c r="B111" s="8" t="s">
        <v>178</v>
      </c>
      <c r="C111" s="12" t="n">
        <v>500</v>
      </c>
      <c r="P111" s="4" t="n">
        <f aca="false">SUM(D111:O111)</f>
        <v>0</v>
      </c>
      <c r="R111" s="12" t="n">
        <v>500</v>
      </c>
    </row>
    <row r="112" customFormat="false" ht="15" hidden="false" customHeight="false" outlineLevel="0" collapsed="false">
      <c r="A112" s="8" t="s">
        <v>179</v>
      </c>
      <c r="B112" s="8" t="s">
        <v>180</v>
      </c>
      <c r="C112" s="12" t="n">
        <v>0</v>
      </c>
      <c r="P112" s="4" t="n">
        <f aca="false">SUM(D112:O112)</f>
        <v>0</v>
      </c>
      <c r="R112" s="12" t="n">
        <v>0</v>
      </c>
    </row>
    <row r="113" customFormat="false" ht="15" hidden="false" customHeight="false" outlineLevel="0" collapsed="false">
      <c r="A113" s="8" t="s">
        <v>181</v>
      </c>
      <c r="B113" s="8" t="s">
        <v>182</v>
      </c>
      <c r="C113" s="12" t="n">
        <v>3500</v>
      </c>
      <c r="D113" s="2" t="n">
        <v>350</v>
      </c>
      <c r="I113" s="2" t="n">
        <v>805</v>
      </c>
      <c r="M113" s="2"/>
      <c r="P113" s="4" t="n">
        <f aca="false">SUM(D113:O113)</f>
        <v>1155</v>
      </c>
      <c r="R113" s="12" t="n">
        <v>3500</v>
      </c>
    </row>
    <row r="114" customFormat="false" ht="15" hidden="false" customHeight="false" outlineLevel="0" collapsed="false">
      <c r="A114" s="8" t="s">
        <v>431</v>
      </c>
      <c r="B114" s="8" t="s">
        <v>432</v>
      </c>
      <c r="C114" s="12"/>
      <c r="D114" s="2"/>
      <c r="I114" s="2"/>
      <c r="P114" s="4"/>
      <c r="R114" s="12" t="n">
        <v>51750</v>
      </c>
    </row>
    <row r="115" customFormat="false" ht="15" hidden="false" customHeight="false" outlineLevel="0" collapsed="false">
      <c r="A115" s="8" t="s">
        <v>183</v>
      </c>
      <c r="B115" s="8" t="s">
        <v>184</v>
      </c>
      <c r="C115" s="12" t="n">
        <v>75000</v>
      </c>
      <c r="P115" s="4" t="n">
        <f aca="false">SUM(D115:O115)</f>
        <v>0</v>
      </c>
      <c r="R115" s="12" t="n">
        <v>12650</v>
      </c>
    </row>
    <row r="116" customFormat="false" ht="15" hidden="false" customHeight="false" outlineLevel="0" collapsed="false">
      <c r="A116" s="8" t="s">
        <v>185</v>
      </c>
      <c r="B116" s="8" t="s">
        <v>186</v>
      </c>
      <c r="C116" s="12" t="n">
        <v>100000</v>
      </c>
      <c r="D116" s="2" t="n">
        <v>3278.16</v>
      </c>
      <c r="E116" s="2" t="n">
        <v>3278.16</v>
      </c>
      <c r="F116" s="2" t="n">
        <v>3278.16</v>
      </c>
      <c r="G116" s="2" t="n">
        <v>4161.92</v>
      </c>
      <c r="H116" s="2" t="n">
        <v>11620.8</v>
      </c>
      <c r="I116" s="2" t="n">
        <v>8977.16</v>
      </c>
      <c r="J116" s="2" t="n">
        <v>9401.56</v>
      </c>
      <c r="K116" s="2" t="n">
        <v>9482.58</v>
      </c>
      <c r="L116" s="2" t="n">
        <v>9063.51</v>
      </c>
      <c r="M116" s="2" t="n">
        <v>8573.81</v>
      </c>
      <c r="N116" s="2" t="n">
        <v>6948.36</v>
      </c>
      <c r="O116" s="2" t="n">
        <v>3278.16</v>
      </c>
      <c r="P116" s="4" t="n">
        <f aca="false">SUM(D116:O116)</f>
        <v>81342.34</v>
      </c>
      <c r="R116" s="12" t="n">
        <v>100000</v>
      </c>
    </row>
    <row r="117" customFormat="false" ht="15" hidden="false" customHeight="false" outlineLevel="0" collapsed="false">
      <c r="A117" s="8" t="s">
        <v>187</v>
      </c>
      <c r="B117" s="8" t="s">
        <v>188</v>
      </c>
      <c r="C117" s="12" t="n">
        <v>10000</v>
      </c>
      <c r="P117" s="4" t="n">
        <f aca="false">SUM(D117:O117)</f>
        <v>0</v>
      </c>
      <c r="R117" s="12" t="n">
        <v>10000</v>
      </c>
    </row>
    <row r="118" customFormat="false" ht="15" hidden="false" customHeight="false" outlineLevel="0" collapsed="false">
      <c r="A118" s="8" t="s">
        <v>189</v>
      </c>
      <c r="B118" s="8" t="s">
        <v>190</v>
      </c>
      <c r="C118" s="12" t="n">
        <v>25000</v>
      </c>
      <c r="D118" s="2"/>
      <c r="E118" s="0" t="n">
        <v>-333.61</v>
      </c>
      <c r="F118" s="2" t="n">
        <v>911.99</v>
      </c>
      <c r="G118" s="2" t="n">
        <v>163.27</v>
      </c>
      <c r="H118" s="2" t="n">
        <v>1176.51</v>
      </c>
      <c r="I118" s="2" t="n">
        <v>3979.56</v>
      </c>
      <c r="J118" s="2" t="n">
        <v>950.42</v>
      </c>
      <c r="K118" s="2" t="n">
        <v>1479.26</v>
      </c>
      <c r="L118" s="2" t="n">
        <v>1921.3</v>
      </c>
      <c r="M118" s="2" t="n">
        <v>938.99</v>
      </c>
      <c r="N118" s="2" t="n">
        <v>290.89</v>
      </c>
      <c r="P118" s="4" t="n">
        <f aca="false">SUM(D118:O118)</f>
        <v>11478.58</v>
      </c>
      <c r="R118" s="12" t="n">
        <v>25000</v>
      </c>
    </row>
    <row r="119" customFormat="false" ht="15" hidden="false" customHeight="false" outlineLevel="0" collapsed="false">
      <c r="A119" s="8" t="s">
        <v>191</v>
      </c>
      <c r="B119" s="8" t="s">
        <v>192</v>
      </c>
      <c r="C119" s="12" t="n">
        <v>1040</v>
      </c>
      <c r="I119" s="2" t="n">
        <v>275</v>
      </c>
      <c r="K119" s="2" t="n">
        <v>275</v>
      </c>
      <c r="M119" s="2"/>
      <c r="P119" s="4" t="n">
        <f aca="false">SUM(D119:O119)</f>
        <v>550</v>
      </c>
      <c r="R119" s="12" t="n">
        <v>1040</v>
      </c>
    </row>
    <row r="120" customFormat="false" ht="15" hidden="false" customHeight="false" outlineLevel="0" collapsed="false">
      <c r="A120" s="8" t="s">
        <v>193</v>
      </c>
      <c r="B120" s="8" t="s">
        <v>194</v>
      </c>
      <c r="C120" s="12" t="n">
        <v>21000</v>
      </c>
      <c r="D120" s="2"/>
      <c r="J120" s="2" t="n">
        <v>5824.22</v>
      </c>
      <c r="K120" s="2" t="n">
        <v>11989.58</v>
      </c>
      <c r="L120" s="2"/>
      <c r="P120" s="4" t="n">
        <f aca="false">SUM(D120:O120)</f>
        <v>17813.8</v>
      </c>
      <c r="R120" s="12" t="n">
        <v>21000</v>
      </c>
    </row>
    <row r="121" customFormat="false" ht="15" hidden="false" customHeight="false" outlineLevel="0" collapsed="false">
      <c r="A121" s="8" t="s">
        <v>195</v>
      </c>
      <c r="B121" s="8" t="s">
        <v>196</v>
      </c>
      <c r="C121" s="12" t="n">
        <v>0</v>
      </c>
      <c r="P121" s="4" t="n">
        <f aca="false">SUM(D121:O121)</f>
        <v>0</v>
      </c>
      <c r="R121" s="12" t="n">
        <v>0</v>
      </c>
    </row>
    <row r="122" customFormat="false" ht="15" hidden="false" customHeight="false" outlineLevel="0" collapsed="false">
      <c r="A122" s="8" t="s">
        <v>197</v>
      </c>
      <c r="B122" s="8" t="s">
        <v>198</v>
      </c>
      <c r="C122" s="12" t="n">
        <v>3600</v>
      </c>
      <c r="D122" s="2" t="n">
        <v>600</v>
      </c>
      <c r="J122" s="2" t="n">
        <v>1498.7</v>
      </c>
      <c r="K122" s="2" t="n">
        <v>549.62</v>
      </c>
      <c r="L122" s="2" t="n">
        <v>176.8</v>
      </c>
      <c r="P122" s="4" t="n">
        <f aca="false">SUM(D122:O122)</f>
        <v>2825.12</v>
      </c>
      <c r="R122" s="12" t="n">
        <v>3600</v>
      </c>
    </row>
    <row r="123" customFormat="false" ht="15" hidden="false" customHeight="false" outlineLevel="0" collapsed="false">
      <c r="A123" s="8" t="s">
        <v>433</v>
      </c>
      <c r="B123" s="8" t="s">
        <v>200</v>
      </c>
      <c r="C123" s="12" t="n">
        <v>0</v>
      </c>
      <c r="P123" s="4" t="n">
        <f aca="false">SUM(D123:O123)</f>
        <v>0</v>
      </c>
      <c r="R123" s="12" t="n">
        <v>0</v>
      </c>
    </row>
    <row r="124" customFormat="false" ht="15" hidden="false" customHeight="false" outlineLevel="0" collapsed="false">
      <c r="A124" s="8" t="s">
        <v>201</v>
      </c>
      <c r="B124" s="8" t="s">
        <v>202</v>
      </c>
      <c r="C124" s="12" t="n">
        <v>4000</v>
      </c>
      <c r="F124" s="2" t="n">
        <v>4000</v>
      </c>
      <c r="P124" s="4" t="n">
        <f aca="false">SUM(D124:O124)</f>
        <v>4000</v>
      </c>
      <c r="R124" s="12" t="n">
        <v>4000</v>
      </c>
    </row>
    <row r="125" customFormat="false" ht="15" hidden="false" customHeight="false" outlineLevel="0" collapsed="false">
      <c r="A125" s="8" t="s">
        <v>203</v>
      </c>
      <c r="B125" s="8" t="s">
        <v>204</v>
      </c>
      <c r="C125" s="12" t="n">
        <v>652</v>
      </c>
      <c r="O125" s="2" t="n">
        <v>652</v>
      </c>
      <c r="P125" s="4" t="n">
        <f aca="false">SUM(D125:O125)</f>
        <v>652</v>
      </c>
      <c r="R125" s="16" t="n">
        <v>672</v>
      </c>
    </row>
    <row r="126" customFormat="false" ht="15" hidden="false" customHeight="false" outlineLevel="0" collapsed="false">
      <c r="A126" s="8" t="s">
        <v>205</v>
      </c>
      <c r="B126" s="8" t="s">
        <v>89</v>
      </c>
      <c r="C126" s="12" t="n">
        <v>150</v>
      </c>
      <c r="H126" s="2" t="n">
        <v>98.9</v>
      </c>
      <c r="P126" s="4" t="n">
        <f aca="false">SUM(D126:O126)</f>
        <v>98.9</v>
      </c>
      <c r="R126" s="12" t="n">
        <v>150</v>
      </c>
    </row>
    <row r="127" customFormat="false" ht="15" hidden="false" customHeight="false" outlineLevel="0" collapsed="false">
      <c r="A127" s="8" t="s">
        <v>206</v>
      </c>
      <c r="B127" s="8" t="s">
        <v>207</v>
      </c>
      <c r="C127" s="12" t="n">
        <v>2000</v>
      </c>
      <c r="P127" s="4" t="n">
        <f aca="false">SUM(D127:O127)</f>
        <v>0</v>
      </c>
      <c r="R127" s="12" t="n">
        <v>2000</v>
      </c>
    </row>
    <row r="128" customFormat="false" ht="15" hidden="false" customHeight="false" outlineLevel="0" collapsed="false">
      <c r="A128" s="8" t="s">
        <v>208</v>
      </c>
      <c r="B128" s="8" t="s">
        <v>209</v>
      </c>
      <c r="C128" s="12" t="n">
        <v>500</v>
      </c>
      <c r="P128" s="4" t="n">
        <f aca="false">SUM(D128:O128)</f>
        <v>0</v>
      </c>
      <c r="R128" s="12" t="n">
        <v>0</v>
      </c>
    </row>
    <row r="129" customFormat="false" ht="15" hidden="false" customHeight="false" outlineLevel="0" collapsed="false">
      <c r="A129" s="8" t="s">
        <v>210</v>
      </c>
      <c r="B129" s="8" t="s">
        <v>211</v>
      </c>
      <c r="C129" s="12" t="n">
        <v>1000</v>
      </c>
      <c r="D129" s="2" t="n">
        <v>70</v>
      </c>
      <c r="F129" s="2" t="n">
        <v>15.79</v>
      </c>
      <c r="H129" s="2" t="n">
        <v>25.98</v>
      </c>
      <c r="I129" s="2" t="n">
        <v>6.5</v>
      </c>
      <c r="K129" s="2" t="n">
        <v>40.6</v>
      </c>
      <c r="M129" s="2" t="n">
        <f aca="false">50.97+43.09</f>
        <v>94.06</v>
      </c>
      <c r="N129" s="0" t="n">
        <v>45.99</v>
      </c>
      <c r="O129" s="2" t="n">
        <v>114.8</v>
      </c>
      <c r="P129" s="4" t="n">
        <f aca="false">SUM(D129:O129)</f>
        <v>413.72</v>
      </c>
      <c r="R129" s="12" t="n">
        <v>1000</v>
      </c>
    </row>
    <row r="130" customFormat="false" ht="15" hidden="false" customHeight="false" outlineLevel="0" collapsed="false">
      <c r="A130" s="8" t="s">
        <v>212</v>
      </c>
      <c r="B130" s="8" t="s">
        <v>213</v>
      </c>
      <c r="C130" s="12" t="n">
        <v>0</v>
      </c>
      <c r="P130" s="4" t="n">
        <f aca="false">SUM(D130:O130)</f>
        <v>0</v>
      </c>
    </row>
    <row r="131" customFormat="false" ht="15" hidden="false" customHeight="false" outlineLevel="0" collapsed="false">
      <c r="A131" s="8" t="s">
        <v>214</v>
      </c>
      <c r="B131" s="8" t="s">
        <v>215</v>
      </c>
      <c r="C131" s="12" t="n">
        <v>1000</v>
      </c>
      <c r="D131" s="2" t="n">
        <v>70</v>
      </c>
      <c r="E131" s="0" t="n">
        <v>27.31</v>
      </c>
      <c r="F131" s="2" t="n">
        <v>118.96</v>
      </c>
      <c r="G131" s="2" t="n">
        <v>27.31</v>
      </c>
      <c r="H131" s="2" t="n">
        <v>39.77</v>
      </c>
      <c r="L131" s="2" t="n">
        <v>26.9</v>
      </c>
      <c r="N131" s="2" t="n">
        <v>53.64</v>
      </c>
      <c r="O131" s="2" t="n">
        <v>131.45</v>
      </c>
      <c r="P131" s="4" t="n">
        <f aca="false">SUM(D131:O131)</f>
        <v>495.34</v>
      </c>
      <c r="R131" s="12" t="n">
        <v>1000</v>
      </c>
    </row>
    <row r="132" customFormat="false" ht="15" hidden="false" customHeight="false" outlineLevel="0" collapsed="false">
      <c r="A132" s="8" t="s">
        <v>216</v>
      </c>
      <c r="B132" s="8" t="s">
        <v>217</v>
      </c>
      <c r="C132" s="12" t="n">
        <v>0</v>
      </c>
      <c r="P132" s="4" t="n">
        <f aca="false">SUM(D132:O132)</f>
        <v>0</v>
      </c>
      <c r="R132" s="12" t="n">
        <v>2000</v>
      </c>
    </row>
    <row r="133" customFormat="false" ht="15" hidden="false" customHeight="false" outlineLevel="0" collapsed="false">
      <c r="A133" s="8" t="s">
        <v>218</v>
      </c>
      <c r="B133" s="8" t="s">
        <v>219</v>
      </c>
      <c r="C133" s="12" t="n">
        <v>14500</v>
      </c>
      <c r="H133" s="2" t="n">
        <v>238.65</v>
      </c>
      <c r="I133" s="2" t="n">
        <v>2092.35</v>
      </c>
      <c r="J133" s="2" t="n">
        <v>2736.15</v>
      </c>
      <c r="K133" s="2" t="n">
        <v>2730.6</v>
      </c>
      <c r="L133" s="2" t="n">
        <v>1992.45</v>
      </c>
      <c r="M133" s="2" t="n">
        <v>688.2</v>
      </c>
      <c r="P133" s="4" t="n">
        <f aca="false">SUM(D133:O133)</f>
        <v>10478.4</v>
      </c>
      <c r="R133" s="12" t="n">
        <v>14500</v>
      </c>
    </row>
    <row r="134" customFormat="false" ht="15" hidden="false" customHeight="false" outlineLevel="0" collapsed="false">
      <c r="A134" s="8" t="s">
        <v>220</v>
      </c>
      <c r="B134" s="8" t="s">
        <v>221</v>
      </c>
      <c r="C134" s="12" t="n">
        <v>14500</v>
      </c>
      <c r="H134" s="2"/>
      <c r="I134" s="2" t="n">
        <v>632.7</v>
      </c>
      <c r="J134" s="2" t="n">
        <v>632.7</v>
      </c>
      <c r="K134" s="2" t="n">
        <v>710.4</v>
      </c>
      <c r="L134" s="2" t="n">
        <v>222</v>
      </c>
      <c r="P134" s="4" t="n">
        <f aca="false">SUM(D134:O134)</f>
        <v>2197.8</v>
      </c>
      <c r="R134" s="12" t="n">
        <v>14500</v>
      </c>
    </row>
    <row r="135" customFormat="false" ht="15" hidden="false" customHeight="false" outlineLevel="0" collapsed="false">
      <c r="A135" s="8" t="s">
        <v>222</v>
      </c>
      <c r="B135" s="8" t="s">
        <v>434</v>
      </c>
      <c r="C135" s="12" t="n">
        <v>2000</v>
      </c>
      <c r="H135" s="2" t="n">
        <v>200</v>
      </c>
      <c r="I135" s="2" t="n">
        <v>400</v>
      </c>
      <c r="J135" s="2" t="n">
        <v>400</v>
      </c>
      <c r="K135" s="2" t="n">
        <v>400</v>
      </c>
      <c r="L135" s="2" t="n">
        <v>400</v>
      </c>
      <c r="M135" s="2" t="n">
        <v>200</v>
      </c>
      <c r="P135" s="4" t="n">
        <f aca="false">SUM(D135:O135)</f>
        <v>2000</v>
      </c>
      <c r="R135" s="12" t="n">
        <v>2000</v>
      </c>
    </row>
    <row r="136" customFormat="false" ht="15" hidden="false" customHeight="false" outlineLevel="0" collapsed="false">
      <c r="A136" s="8" t="s">
        <v>224</v>
      </c>
      <c r="B136" s="8" t="s">
        <v>435</v>
      </c>
      <c r="C136" s="12" t="n">
        <v>73850</v>
      </c>
      <c r="I136" s="2" t="n">
        <v>12190.78</v>
      </c>
      <c r="J136" s="2" t="n">
        <v>19034.68</v>
      </c>
      <c r="K136" s="2" t="n">
        <v>11415.12</v>
      </c>
      <c r="L136" s="2" t="n">
        <v>4356.4</v>
      </c>
      <c r="P136" s="4" t="n">
        <f aca="false">SUM(D136:O136)</f>
        <v>46996.98</v>
      </c>
      <c r="R136" s="12" t="n">
        <v>76553</v>
      </c>
    </row>
    <row r="137" customFormat="false" ht="15" hidden="false" customHeight="false" outlineLevel="0" collapsed="false">
      <c r="A137" s="8" t="s">
        <v>436</v>
      </c>
      <c r="B137" s="8" t="s">
        <v>437</v>
      </c>
      <c r="C137" s="12" t="n">
        <v>16000</v>
      </c>
      <c r="I137" s="2" t="n">
        <v>8000</v>
      </c>
      <c r="L137" s="2" t="n">
        <v>8000</v>
      </c>
      <c r="P137" s="4" t="n">
        <f aca="false">SUM(D137:O137)</f>
        <v>16000</v>
      </c>
      <c r="R137" s="12" t="n">
        <v>16000</v>
      </c>
    </row>
    <row r="138" customFormat="false" ht="15" hidden="false" customHeight="false" outlineLevel="0" collapsed="false">
      <c r="A138" s="8" t="s">
        <v>226</v>
      </c>
      <c r="B138" s="8" t="s">
        <v>87</v>
      </c>
      <c r="C138" s="12" t="n">
        <v>5000</v>
      </c>
      <c r="K138" s="2" t="n">
        <v>5000</v>
      </c>
      <c r="P138" s="4" t="n">
        <f aca="false">SUM(D138:O138)</f>
        <v>5000</v>
      </c>
      <c r="R138" s="12" t="n">
        <v>9000</v>
      </c>
    </row>
    <row r="139" customFormat="false" ht="15" hidden="false" customHeight="false" outlineLevel="0" collapsed="false">
      <c r="A139" s="8" t="s">
        <v>227</v>
      </c>
      <c r="B139" s="8" t="s">
        <v>438</v>
      </c>
      <c r="C139" s="12" t="n">
        <v>5000</v>
      </c>
      <c r="H139" s="2" t="n">
        <v>134.34</v>
      </c>
      <c r="I139" s="2" t="n">
        <v>57</v>
      </c>
      <c r="L139" s="2" t="n">
        <v>537.78</v>
      </c>
      <c r="M139" s="2" t="n">
        <f aca="false">9.99</f>
        <v>9.99</v>
      </c>
      <c r="P139" s="4" t="n">
        <f aca="false">SUM(D139:O139)</f>
        <v>739.11</v>
      </c>
      <c r="R139" s="12" t="n">
        <v>5000</v>
      </c>
    </row>
    <row r="140" customFormat="false" ht="15" hidden="false" customHeight="false" outlineLevel="0" collapsed="false">
      <c r="A140" s="8" t="s">
        <v>229</v>
      </c>
      <c r="B140" s="8" t="s">
        <v>230</v>
      </c>
      <c r="C140" s="12" t="n">
        <v>6000</v>
      </c>
      <c r="H140" s="2" t="n">
        <v>386.83</v>
      </c>
      <c r="I140" s="2" t="n">
        <v>2049.08</v>
      </c>
      <c r="K140" s="2" t="n">
        <v>1518.2</v>
      </c>
      <c r="N140" s="2" t="n">
        <v>1500</v>
      </c>
      <c r="O140" s="2" t="n">
        <f aca="false">6621.87-5454.11</f>
        <v>1167.76</v>
      </c>
      <c r="P140" s="4" t="n">
        <f aca="false">SUM(D140:O140)</f>
        <v>6621.87</v>
      </c>
      <c r="Q140" s="2"/>
      <c r="R140" s="12" t="n">
        <v>8000</v>
      </c>
    </row>
    <row r="141" customFormat="false" ht="15" hidden="false" customHeight="false" outlineLevel="0" collapsed="false">
      <c r="A141" s="8" t="s">
        <v>231</v>
      </c>
      <c r="B141" s="8" t="s">
        <v>232</v>
      </c>
      <c r="C141" s="12" t="n">
        <v>48000</v>
      </c>
      <c r="D141" s="2" t="n">
        <f aca="false">4423.6-2146.48</f>
        <v>2277.12</v>
      </c>
      <c r="E141" s="2" t="n">
        <v>2146.48</v>
      </c>
      <c r="F141" s="2" t="n">
        <v>1969.12</v>
      </c>
      <c r="G141" s="2" t="n">
        <v>1885.2</v>
      </c>
      <c r="H141" s="2" t="n">
        <v>3840.48</v>
      </c>
      <c r="I141" s="2" t="n">
        <v>2473.3</v>
      </c>
      <c r="J141" s="2" t="n">
        <v>3571.55</v>
      </c>
      <c r="K141" s="2" t="n">
        <v>3499.74</v>
      </c>
      <c r="L141" s="2" t="n">
        <v>3168.44</v>
      </c>
      <c r="M141" s="2" t="n">
        <v>3970.78</v>
      </c>
      <c r="N141" s="2" t="n">
        <v>2478.45</v>
      </c>
      <c r="O141" s="2" t="n">
        <v>1853.34</v>
      </c>
      <c r="P141" s="4" t="n">
        <f aca="false">SUM(D141:O141)</f>
        <v>33134</v>
      </c>
      <c r="R141" s="12" t="n">
        <v>48000</v>
      </c>
    </row>
    <row r="142" customFormat="false" ht="15" hidden="false" customHeight="false" outlineLevel="0" collapsed="false">
      <c r="A142" s="8" t="s">
        <v>233</v>
      </c>
      <c r="B142" s="8" t="s">
        <v>89</v>
      </c>
      <c r="C142" s="12" t="n">
        <v>45000</v>
      </c>
      <c r="D142" s="2" t="n">
        <v>38.71</v>
      </c>
      <c r="E142" s="2" t="n">
        <v>1111.64</v>
      </c>
      <c r="F142" s="2" t="n">
        <v>1013.4</v>
      </c>
      <c r="G142" s="2" t="n">
        <v>1226.65</v>
      </c>
      <c r="H142" s="2" t="n">
        <v>1814.33</v>
      </c>
      <c r="I142" s="2" t="n">
        <v>3735.68</v>
      </c>
      <c r="J142" s="2" t="n">
        <v>2934.89</v>
      </c>
      <c r="K142" s="2" t="n">
        <v>4809.83</v>
      </c>
      <c r="L142" s="2" t="n">
        <v>4168.06</v>
      </c>
      <c r="M142" s="2" t="n">
        <v>3298.56</v>
      </c>
      <c r="N142" s="2" t="n">
        <v>2663.91</v>
      </c>
      <c r="O142" s="2" t="n">
        <v>1795.98</v>
      </c>
      <c r="P142" s="4" t="n">
        <f aca="false">SUM(D142:O142)</f>
        <v>28611.64</v>
      </c>
      <c r="R142" s="12" t="n">
        <v>45000</v>
      </c>
    </row>
    <row r="143" customFormat="false" ht="15" hidden="false" customHeight="false" outlineLevel="0" collapsed="false">
      <c r="A143" s="8" t="s">
        <v>235</v>
      </c>
      <c r="B143" s="8" t="s">
        <v>236</v>
      </c>
      <c r="C143" s="12" t="n">
        <v>9000</v>
      </c>
      <c r="F143" s="2" t="n">
        <v>2167.74</v>
      </c>
      <c r="H143" s="2" t="n">
        <v>6294.16</v>
      </c>
      <c r="M143" s="2" t="n">
        <v>2434.39</v>
      </c>
      <c r="O143" s="2" t="n">
        <v>2017.11</v>
      </c>
      <c r="P143" s="4" t="n">
        <f aca="false">SUM(D143:O143)</f>
        <v>12913.4</v>
      </c>
      <c r="R143" s="12" t="n">
        <v>9000</v>
      </c>
    </row>
    <row r="144" customFormat="false" ht="15" hidden="false" customHeight="false" outlineLevel="0" collapsed="false">
      <c r="A144" s="8" t="s">
        <v>439</v>
      </c>
      <c r="B144" s="8" t="s">
        <v>440</v>
      </c>
      <c r="C144" s="12"/>
      <c r="H144" s="2"/>
      <c r="P144" s="4"/>
      <c r="R144" s="12" t="n">
        <v>500</v>
      </c>
    </row>
    <row r="145" customFormat="false" ht="15" hidden="false" customHeight="false" outlineLevel="0" collapsed="false">
      <c r="A145" s="8" t="s">
        <v>237</v>
      </c>
      <c r="B145" s="8" t="s">
        <v>238</v>
      </c>
      <c r="C145" s="12" t="n">
        <v>200</v>
      </c>
      <c r="I145" s="2" t="n">
        <v>30</v>
      </c>
      <c r="L145" s="2" t="n">
        <f aca="false">316-30</f>
        <v>286</v>
      </c>
      <c r="M145" s="2"/>
      <c r="P145" s="4" t="n">
        <f aca="false">SUM(D145:O145)</f>
        <v>316</v>
      </c>
      <c r="R145" s="12" t="n">
        <v>300</v>
      </c>
    </row>
    <row r="146" customFormat="false" ht="15" hidden="false" customHeight="false" outlineLevel="0" collapsed="false">
      <c r="A146" s="8" t="s">
        <v>239</v>
      </c>
      <c r="B146" s="8" t="s">
        <v>240</v>
      </c>
      <c r="C146" s="12" t="n">
        <v>3000</v>
      </c>
      <c r="F146" s="0" t="n">
        <v>3000</v>
      </c>
      <c r="P146" s="4" t="n">
        <f aca="false">SUM(D146:O146)</f>
        <v>3000</v>
      </c>
      <c r="R146" s="12" t="n">
        <v>3000</v>
      </c>
    </row>
    <row r="147" customFormat="false" ht="15" hidden="false" customHeight="false" outlineLevel="0" collapsed="false">
      <c r="A147" s="8" t="s">
        <v>241</v>
      </c>
      <c r="B147" s="8" t="s">
        <v>242</v>
      </c>
      <c r="C147" s="12" t="n">
        <v>25000</v>
      </c>
      <c r="O147" s="2" t="n">
        <v>24032</v>
      </c>
      <c r="P147" s="4" t="n">
        <f aca="false">SUM(D147:O147)</f>
        <v>24032</v>
      </c>
      <c r="R147" s="12" t="n">
        <v>26000</v>
      </c>
    </row>
    <row r="148" customFormat="false" ht="15" hidden="false" customHeight="false" outlineLevel="0" collapsed="false">
      <c r="A148" s="8" t="s">
        <v>243</v>
      </c>
      <c r="B148" s="8" t="s">
        <v>244</v>
      </c>
      <c r="C148" s="12" t="n">
        <v>42000</v>
      </c>
      <c r="D148" s="2" t="n">
        <f aca="false">4625.63-2854.28</f>
        <v>1771.35</v>
      </c>
      <c r="E148" s="2" t="n">
        <v>2854.28</v>
      </c>
      <c r="F148" s="2" t="n">
        <v>2097.22</v>
      </c>
      <c r="G148" s="2" t="n">
        <v>2043.25</v>
      </c>
      <c r="H148" s="2" t="n">
        <v>3454.78</v>
      </c>
      <c r="I148" s="2" t="n">
        <v>4583.94</v>
      </c>
      <c r="J148" s="2" t="n">
        <v>4712.3</v>
      </c>
      <c r="K148" s="2" t="n">
        <v>4525.69</v>
      </c>
      <c r="L148" s="2" t="n">
        <v>3714.72</v>
      </c>
      <c r="M148" s="2" t="n">
        <v>2561.41</v>
      </c>
      <c r="N148" s="2" t="n">
        <v>2923.04</v>
      </c>
      <c r="O148" s="2" t="n">
        <f aca="false">-58.21+2177.98</f>
        <v>2119.77</v>
      </c>
      <c r="P148" s="4" t="n">
        <f aca="false">SUM(D148:O148)</f>
        <v>37361.75</v>
      </c>
      <c r="R148" s="12" t="n">
        <v>43000</v>
      </c>
    </row>
    <row r="149" customFormat="false" ht="15" hidden="false" customHeight="false" outlineLevel="0" collapsed="false">
      <c r="A149" s="8" t="s">
        <v>245</v>
      </c>
      <c r="B149" s="8" t="s">
        <v>246</v>
      </c>
      <c r="C149" s="12" t="n">
        <v>6650</v>
      </c>
      <c r="D149" s="2" t="n">
        <v>6650</v>
      </c>
      <c r="F149" s="2" t="n">
        <v>-1330</v>
      </c>
      <c r="P149" s="4" t="n">
        <f aca="false">SUM(D149:O149)</f>
        <v>5320</v>
      </c>
      <c r="R149" s="12" t="n">
        <v>5320</v>
      </c>
    </row>
    <row r="150" customFormat="false" ht="15" hidden="false" customHeight="false" outlineLevel="0" collapsed="false">
      <c r="A150" s="8" t="s">
        <v>441</v>
      </c>
      <c r="B150" s="8" t="s">
        <v>442</v>
      </c>
      <c r="C150" s="12"/>
      <c r="D150" s="2"/>
      <c r="F150" s="2" t="n">
        <v>1330</v>
      </c>
      <c r="P150" s="4" t="n">
        <f aca="false">SUM(D150:O150)</f>
        <v>1330</v>
      </c>
      <c r="R150" s="12" t="n">
        <v>1330</v>
      </c>
    </row>
    <row r="151" customFormat="false" ht="15" hidden="false" customHeight="false" outlineLevel="0" collapsed="false">
      <c r="A151" s="8" t="s">
        <v>247</v>
      </c>
      <c r="B151" s="8" t="s">
        <v>248</v>
      </c>
      <c r="C151" s="12" t="n">
        <v>5000</v>
      </c>
      <c r="F151" s="2"/>
      <c r="P151" s="4" t="n">
        <f aca="false">SUM(D151:O151)</f>
        <v>0</v>
      </c>
      <c r="R151" s="12" t="n">
        <v>5000</v>
      </c>
    </row>
    <row r="152" customFormat="false" ht="15" hidden="false" customHeight="false" outlineLevel="0" collapsed="false">
      <c r="A152" s="8" t="s">
        <v>249</v>
      </c>
      <c r="B152" s="8" t="s">
        <v>250</v>
      </c>
      <c r="C152" s="12" t="n">
        <v>13000</v>
      </c>
      <c r="G152" s="2" t="n">
        <v>5965</v>
      </c>
      <c r="J152" s="2" t="n">
        <v>954</v>
      </c>
      <c r="P152" s="4" t="n">
        <f aca="false">SUM(D152:O152)</f>
        <v>6919</v>
      </c>
      <c r="R152" s="12" t="n">
        <v>11000</v>
      </c>
      <c r="S152" s="1"/>
      <c r="T152" s="25"/>
    </row>
    <row r="153" customFormat="false" ht="15" hidden="false" customHeight="false" outlineLevel="0" collapsed="false">
      <c r="A153" s="8" t="s">
        <v>251</v>
      </c>
      <c r="B153" s="8" t="s">
        <v>252</v>
      </c>
      <c r="C153" s="12" t="n">
        <v>300</v>
      </c>
      <c r="D153" s="2" t="n">
        <v>207</v>
      </c>
      <c r="P153" s="4" t="n">
        <f aca="false">SUM(D153:O153)</f>
        <v>207</v>
      </c>
      <c r="R153" s="12" t="n">
        <v>300</v>
      </c>
      <c r="T153" s="14" t="s">
        <v>443</v>
      </c>
      <c r="U153" s="0" t="s">
        <v>444</v>
      </c>
    </row>
    <row r="154" customFormat="false" ht="15" hidden="false" customHeight="false" outlineLevel="0" collapsed="false">
      <c r="A154" s="8" t="s">
        <v>253</v>
      </c>
      <c r="B154" s="8" t="s">
        <v>254</v>
      </c>
      <c r="C154" s="12" t="n">
        <v>157000</v>
      </c>
      <c r="D154" s="2" t="n">
        <f aca="false">33019.73-22106.8</f>
        <v>10912.93</v>
      </c>
      <c r="E154" s="2" t="n">
        <v>22106.8</v>
      </c>
      <c r="F154" s="2" t="n">
        <f aca="false">8448.14-7018.32</f>
        <v>1429.82</v>
      </c>
      <c r="G154" s="2" t="n">
        <v>7793.53</v>
      </c>
      <c r="H154" s="2" t="n">
        <v>5606.23</v>
      </c>
      <c r="I154" s="2" t="n">
        <v>8277.35</v>
      </c>
      <c r="J154" s="2" t="n">
        <v>6870.86</v>
      </c>
      <c r="K154" s="2" t="n">
        <v>6044.47</v>
      </c>
      <c r="L154" s="2" t="n">
        <v>11258.37</v>
      </c>
      <c r="M154" s="2" t="n">
        <v>12055.24</v>
      </c>
      <c r="N154" s="2" t="n">
        <f aca="false">-9044.14+798.86</f>
        <v>-8245.28</v>
      </c>
      <c r="O154" s="2" t="n">
        <v>19250.99</v>
      </c>
      <c r="P154" s="4" t="n">
        <f aca="false">SUM(D154:O154)</f>
        <v>103361.31</v>
      </c>
      <c r="R154" s="12" t="n">
        <v>157000</v>
      </c>
      <c r="S154" s="0" t="s">
        <v>445</v>
      </c>
    </row>
    <row r="155" customFormat="false" ht="15" hidden="false" customHeight="false" outlineLevel="0" collapsed="false">
      <c r="A155" s="8" t="s">
        <v>255</v>
      </c>
      <c r="B155" s="8" t="s">
        <v>446</v>
      </c>
      <c r="C155" s="12" t="n">
        <v>24000</v>
      </c>
      <c r="D155" s="2" t="n">
        <v>869.33</v>
      </c>
      <c r="E155" s="2" t="n">
        <v>869.33</v>
      </c>
      <c r="F155" s="2" t="n">
        <v>869.33</v>
      </c>
      <c r="G155" s="2" t="n">
        <v>869.33</v>
      </c>
      <c r="H155" s="2" t="n">
        <v>869.33</v>
      </c>
      <c r="I155" s="2" t="n">
        <v>869.33</v>
      </c>
      <c r="J155" s="2" t="n">
        <v>869.33</v>
      </c>
      <c r="K155" s="2" t="n">
        <v>870.95</v>
      </c>
      <c r="L155" s="2" t="n">
        <v>869.33</v>
      </c>
      <c r="M155" s="2" t="n">
        <v>869.33</v>
      </c>
      <c r="N155" s="2" t="n">
        <v>5248.94</v>
      </c>
      <c r="O155" s="2" t="n">
        <v>1748.2</v>
      </c>
      <c r="P155" s="4" t="n">
        <f aca="false">SUM(D155:O155)</f>
        <v>15692.06</v>
      </c>
      <c r="R155" s="12" t="n">
        <v>20000</v>
      </c>
      <c r="S155" s="1" t="n">
        <v>44104</v>
      </c>
      <c r="T155" s="25" t="n">
        <v>1184243</v>
      </c>
    </row>
    <row r="156" customFormat="false" ht="15" hidden="false" customHeight="false" outlineLevel="0" collapsed="false">
      <c r="A156" s="8" t="s">
        <v>257</v>
      </c>
      <c r="B156" s="8" t="s">
        <v>258</v>
      </c>
      <c r="C156" s="12" t="n">
        <v>20000</v>
      </c>
      <c r="D156" s="2" t="n">
        <v>-10000</v>
      </c>
      <c r="P156" s="4" t="n">
        <f aca="false">SUM(D156:O156)</f>
        <v>-10000</v>
      </c>
      <c r="R156" s="12" t="n">
        <v>20000</v>
      </c>
      <c r="S156" s="0" t="s">
        <v>447</v>
      </c>
      <c r="T156" s="16" t="n">
        <v>177534</v>
      </c>
    </row>
    <row r="157" customFormat="false" ht="15" hidden="false" customHeight="false" outlineLevel="0" collapsed="false">
      <c r="A157" s="8" t="s">
        <v>260</v>
      </c>
      <c r="B157" s="8" t="s">
        <v>261</v>
      </c>
      <c r="C157" s="12" t="n">
        <v>15000</v>
      </c>
      <c r="P157" s="4" t="n">
        <f aca="false">SUM(D157:O157)</f>
        <v>0</v>
      </c>
      <c r="R157" s="12" t="n">
        <v>15000</v>
      </c>
      <c r="S157" s="0" t="s">
        <v>448</v>
      </c>
      <c r="T157" s="16" t="n">
        <v>19000</v>
      </c>
      <c r="U157" s="0" t="s">
        <v>449</v>
      </c>
      <c r="W157" s="0" t="s">
        <v>450</v>
      </c>
      <c r="X157" s="0" t="s">
        <v>451</v>
      </c>
    </row>
    <row r="158" customFormat="false" ht="15" hidden="false" customHeight="false" outlineLevel="0" collapsed="false">
      <c r="A158" s="8" t="s">
        <v>262</v>
      </c>
      <c r="B158" s="8" t="s">
        <v>263</v>
      </c>
      <c r="C158" s="12" t="n">
        <v>10000</v>
      </c>
      <c r="P158" s="4" t="n">
        <f aca="false">SUM(D158:O158)</f>
        <v>0</v>
      </c>
      <c r="R158" s="12" t="n">
        <v>10000</v>
      </c>
      <c r="S158" s="0" t="s">
        <v>452</v>
      </c>
      <c r="T158" s="16" t="n">
        <v>52000</v>
      </c>
      <c r="V158" s="0" t="s">
        <v>453</v>
      </c>
      <c r="W158" s="0" t="s">
        <v>454</v>
      </c>
    </row>
    <row r="159" customFormat="false" ht="15" hidden="false" customHeight="false" outlineLevel="0" collapsed="false">
      <c r="A159" s="8"/>
      <c r="B159" s="14" t="s">
        <v>455</v>
      </c>
      <c r="C159" s="12" t="n">
        <f aca="false">SUM(C34:C158)</f>
        <v>1428318</v>
      </c>
      <c r="D159" s="13" t="n">
        <f aca="false">SUM(D34:D158)</f>
        <v>67838.92</v>
      </c>
      <c r="E159" s="13" t="n">
        <f aca="false">SUM(E34:E158)</f>
        <v>60882.1</v>
      </c>
      <c r="F159" s="13" t="n">
        <f aca="false">SUM(F34:F158)</f>
        <v>55943.05</v>
      </c>
      <c r="G159" s="13" t="n">
        <f aca="false">SUM(G34:G158)</f>
        <v>62436.55</v>
      </c>
      <c r="H159" s="13" t="n">
        <f aca="false">SUM(H34:H158)</f>
        <v>76058.87</v>
      </c>
      <c r="I159" s="13" t="n">
        <f aca="false">SUM(I34:I158)</f>
        <v>98207.79</v>
      </c>
      <c r="J159" s="13" t="n">
        <f aca="false">SUM(J34:J158)</f>
        <v>95179.28</v>
      </c>
      <c r="K159" s="13" t="n">
        <f aca="false">SUM(K34:K158)</f>
        <v>95602.84</v>
      </c>
      <c r="L159" s="13" t="n">
        <f aca="false">SUM(L34:L158)</f>
        <v>125496.58</v>
      </c>
      <c r="M159" s="13" t="n">
        <f aca="false">SUM(M34:M158)</f>
        <v>70193.09</v>
      </c>
      <c r="N159" s="13" t="n">
        <f aca="false">SUM(N34:N158)</f>
        <v>65972.54</v>
      </c>
      <c r="O159" s="13" t="n">
        <f aca="false">SUM(O34:O158)</f>
        <v>109619.67</v>
      </c>
      <c r="P159" s="13" t="n">
        <f aca="false">SUM(P34:P158)</f>
        <v>983431.28</v>
      </c>
      <c r="R159" s="17" t="n">
        <f aca="false">SUM(R34:R158)</f>
        <v>1482696</v>
      </c>
      <c r="T159" s="26" t="n">
        <f aca="false">SUM(T155:T158)</f>
        <v>1432777</v>
      </c>
      <c r="U159" s="21" t="n">
        <f aca="false">SUM(M159:O159)</f>
        <v>245785.3</v>
      </c>
      <c r="V159" s="26" t="n">
        <f aca="false">T159-U159</f>
        <v>1186991.7</v>
      </c>
      <c r="W159" s="16" t="n">
        <v>-285000</v>
      </c>
      <c r="X159" s="26" t="n">
        <f aca="false">SUM(V159:W159)</f>
        <v>901991.7</v>
      </c>
    </row>
    <row r="160" customFormat="false" ht="15.75" hidden="false" customHeight="false" outlineLevel="0" collapsed="false">
      <c r="B160" s="27" t="s">
        <v>456</v>
      </c>
      <c r="Q160" s="0" t="s">
        <v>457</v>
      </c>
      <c r="R160" s="16" t="n">
        <f aca="false">796363+246000</f>
        <v>1042363</v>
      </c>
      <c r="S160" s="0" t="s">
        <v>411</v>
      </c>
      <c r="T160" s="16" t="n">
        <f aca="false">-1454696+1042363</f>
        <v>-412333</v>
      </c>
    </row>
    <row r="161" customFormat="false" ht="15" hidden="false" customHeight="false" outlineLevel="0" collapsed="false">
      <c r="A161" s="8" t="s">
        <v>372</v>
      </c>
      <c r="B161" s="8" t="s">
        <v>266</v>
      </c>
      <c r="C161" s="16" t="n">
        <v>614062</v>
      </c>
      <c r="D161" s="2" t="n">
        <v>614061.9</v>
      </c>
      <c r="P161" s="4" t="n">
        <f aca="false">SUM(D161:O161)</f>
        <v>614061.9</v>
      </c>
      <c r="R161" s="16" t="n">
        <v>0</v>
      </c>
      <c r="S161" s="16" t="n">
        <v>600000</v>
      </c>
    </row>
    <row r="162" customFormat="false" ht="15" hidden="false" customHeight="false" outlineLevel="0" collapsed="false">
      <c r="A162" s="8" t="s">
        <v>458</v>
      </c>
      <c r="B162" s="8" t="s">
        <v>459</v>
      </c>
      <c r="C162" s="16"/>
      <c r="D162" s="2"/>
      <c r="M162" s="2" t="n">
        <v>100000</v>
      </c>
      <c r="P162" s="4" t="n">
        <f aca="false">SUM(D162:O162)</f>
        <v>100000</v>
      </c>
      <c r="R162" s="16"/>
      <c r="S162" s="16"/>
    </row>
    <row r="163" customFormat="false" ht="15" hidden="false" customHeight="false" outlineLevel="0" collapsed="false">
      <c r="A163" s="8" t="s">
        <v>373</v>
      </c>
      <c r="B163" s="8" t="s">
        <v>349</v>
      </c>
      <c r="C163" s="16" t="n">
        <v>25500</v>
      </c>
      <c r="G163" s="2" t="n">
        <v>25650</v>
      </c>
      <c r="M163" s="2" t="n">
        <v>3094</v>
      </c>
      <c r="P163" s="4" t="n">
        <f aca="false">SUM(D163:O163)</f>
        <v>28744</v>
      </c>
      <c r="R163" s="16" t="n">
        <v>28500</v>
      </c>
    </row>
    <row r="164" customFormat="false" ht="15" hidden="false" customHeight="false" outlineLevel="0" collapsed="false">
      <c r="A164" s="8" t="s">
        <v>374</v>
      </c>
      <c r="B164" s="8" t="s">
        <v>375</v>
      </c>
      <c r="C164" s="16" t="n">
        <v>125</v>
      </c>
      <c r="D164" s="2" t="n">
        <f aca="false">161.71-116.58</f>
        <v>45.13</v>
      </c>
      <c r="E164" s="2" t="n">
        <v>116.58</v>
      </c>
      <c r="F164" s="2" t="n">
        <v>127.94</v>
      </c>
      <c r="G164" s="2" t="n">
        <v>122.16</v>
      </c>
      <c r="H164" s="2" t="n">
        <v>125.86</v>
      </c>
      <c r="I164" s="2" t="n">
        <v>121.15</v>
      </c>
      <c r="J164" s="2" t="n">
        <v>124.39</v>
      </c>
      <c r="K164" s="2" t="n">
        <v>123.74</v>
      </c>
      <c r="L164" s="2" t="n">
        <v>77.45</v>
      </c>
      <c r="M164" s="2" t="n">
        <v>51.22</v>
      </c>
      <c r="N164" s="2" t="n">
        <v>45.48</v>
      </c>
      <c r="O164" s="2" t="n">
        <v>2.86</v>
      </c>
      <c r="P164" s="4" t="n">
        <f aca="false">SUM(D164:O164)</f>
        <v>1083.96</v>
      </c>
      <c r="R164" s="16" t="n">
        <v>900</v>
      </c>
    </row>
    <row r="165" customFormat="false" ht="15" hidden="false" customHeight="false" outlineLevel="0" collapsed="false">
      <c r="A165" s="8" t="s">
        <v>378</v>
      </c>
      <c r="B165" s="8" t="s">
        <v>304</v>
      </c>
      <c r="C165" s="16" t="n">
        <v>0</v>
      </c>
      <c r="P165" s="4" t="n">
        <f aca="false">SUM(D165:O165)</f>
        <v>0</v>
      </c>
      <c r="R165" s="16"/>
    </row>
    <row r="166" customFormat="false" ht="15" hidden="false" customHeight="false" outlineLevel="0" collapsed="false">
      <c r="A166" s="8" t="s">
        <v>460</v>
      </c>
      <c r="B166" s="8" t="s">
        <v>461</v>
      </c>
      <c r="C166" s="16"/>
      <c r="I166" s="2" t="n">
        <v>643</v>
      </c>
      <c r="J166" s="2" t="n">
        <v>84</v>
      </c>
      <c r="N166" s="2" t="n">
        <v>66.6</v>
      </c>
      <c r="P166" s="4" t="n">
        <f aca="false">SUM(D166:O166)</f>
        <v>793.6</v>
      </c>
      <c r="R166" s="16"/>
    </row>
    <row r="167" customFormat="false" ht="15" hidden="false" customHeight="false" outlineLevel="0" collapsed="false">
      <c r="A167" s="8" t="s">
        <v>379</v>
      </c>
      <c r="B167" s="8" t="s">
        <v>314</v>
      </c>
      <c r="C167" s="16"/>
      <c r="H167" s="2" t="n">
        <v>329.52</v>
      </c>
      <c r="J167" s="2" t="n">
        <v>1285</v>
      </c>
      <c r="K167" s="2" t="n">
        <v>690</v>
      </c>
      <c r="L167" s="2" t="n">
        <v>10</v>
      </c>
      <c r="M167" s="2" t="n">
        <v>198.9</v>
      </c>
      <c r="O167" s="2" t="n">
        <v>224.19</v>
      </c>
      <c r="P167" s="4" t="n">
        <f aca="false">SUM(D167:O167)</f>
        <v>2737.61</v>
      </c>
      <c r="R167" s="16" t="n">
        <v>77030</v>
      </c>
    </row>
    <row r="168" customFormat="false" ht="15" hidden="false" customHeight="false" outlineLevel="0" collapsed="false">
      <c r="A168" s="8" t="s">
        <v>380</v>
      </c>
      <c r="B168" s="8" t="s">
        <v>381</v>
      </c>
      <c r="C168" s="16" t="n">
        <v>112302</v>
      </c>
      <c r="O168" s="2" t="n">
        <v>217109</v>
      </c>
      <c r="P168" s="4" t="n">
        <f aca="false">SUM(D168:O168)</f>
        <v>217109</v>
      </c>
    </row>
    <row r="169" customFormat="false" ht="15" hidden="false" customHeight="false" outlineLevel="0" collapsed="false">
      <c r="A169" s="8" t="s">
        <v>452</v>
      </c>
      <c r="B169" s="14" t="s">
        <v>409</v>
      </c>
      <c r="C169" s="16" t="n">
        <f aca="false">SUM(C161:C168)</f>
        <v>751989</v>
      </c>
      <c r="D169" s="2" t="n">
        <f aca="false">SUM(D161:D168)</f>
        <v>614107.03</v>
      </c>
      <c r="E169" s="2" t="n">
        <f aca="false">SUM(E161:E168)</f>
        <v>116.58</v>
      </c>
      <c r="F169" s="2" t="n">
        <f aca="false">SUM(F161:F168)</f>
        <v>127.94</v>
      </c>
      <c r="G169" s="2" t="n">
        <f aca="false">SUM(G161:G168)</f>
        <v>25772.16</v>
      </c>
      <c r="H169" s="2" t="n">
        <f aca="false">SUM(H161:H168)</f>
        <v>455.38</v>
      </c>
      <c r="I169" s="2" t="n">
        <f aca="false">SUM(I161:I168)</f>
        <v>764.15</v>
      </c>
      <c r="J169" s="2" t="n">
        <f aca="false">SUM(J161:J168)</f>
        <v>1493.39</v>
      </c>
      <c r="K169" s="2" t="n">
        <f aca="false">SUM(K161:K168)</f>
        <v>813.74</v>
      </c>
      <c r="L169" s="2" t="n">
        <f aca="false">SUM(L161:L168)</f>
        <v>87.45</v>
      </c>
      <c r="M169" s="2" t="n">
        <f aca="false">SUM(M161:M168)</f>
        <v>103344.12</v>
      </c>
      <c r="N169" s="2" t="n">
        <f aca="false">SUM(N161:N168)</f>
        <v>112.08</v>
      </c>
      <c r="O169" s="2" t="n">
        <f aca="false">SUM(O161:O168)</f>
        <v>217336.05</v>
      </c>
      <c r="P169" s="4" t="n">
        <f aca="false">SUM(D169:O169)</f>
        <v>964530.07</v>
      </c>
      <c r="R169" s="24" t="n">
        <f aca="false">SUM(R161:R168)</f>
        <v>106430</v>
      </c>
    </row>
    <row r="170" customFormat="false" ht="15" hidden="false" customHeight="false" outlineLevel="0" collapsed="false">
      <c r="A170" s="8" t="s">
        <v>327</v>
      </c>
      <c r="B170" s="8" t="s">
        <v>328</v>
      </c>
      <c r="C170" s="16" t="n">
        <v>150000</v>
      </c>
      <c r="H170" s="2" t="n">
        <v>26745.84</v>
      </c>
      <c r="I170" s="2" t="n">
        <v>19893.33</v>
      </c>
      <c r="J170" s="2" t="n">
        <v>18272.82</v>
      </c>
      <c r="K170" s="2" t="n">
        <v>18552.18</v>
      </c>
      <c r="L170" s="2" t="n">
        <v>19211.3</v>
      </c>
      <c r="M170" s="2" t="n">
        <v>18293.47</v>
      </c>
      <c r="N170" s="2" t="n">
        <v>11786.69</v>
      </c>
      <c r="O170" s="2"/>
      <c r="P170" s="4" t="n">
        <f aca="false">SUM(D170:O170)</f>
        <v>132755.63</v>
      </c>
      <c r="R170" s="16" t="n">
        <v>155000</v>
      </c>
    </row>
    <row r="171" customFormat="false" ht="15" hidden="false" customHeight="false" outlineLevel="0" collapsed="false">
      <c r="A171" s="8" t="s">
        <v>331</v>
      </c>
      <c r="B171" s="8" t="s">
        <v>332</v>
      </c>
      <c r="C171" s="16" t="n">
        <v>145000</v>
      </c>
      <c r="G171" s="0" t="n">
        <f aca="false">5172.43-4925.73</f>
        <v>246.700000000001</v>
      </c>
      <c r="H171" s="2" t="n">
        <v>4925.73</v>
      </c>
      <c r="I171" s="2" t="n">
        <v>6953.21</v>
      </c>
      <c r="J171" s="2" t="n">
        <v>5644.3</v>
      </c>
      <c r="K171" s="2" t="n">
        <v>12038.12</v>
      </c>
      <c r="L171" s="2" t="n">
        <v>2230.92</v>
      </c>
      <c r="M171" s="2" t="n">
        <v>269.27</v>
      </c>
      <c r="N171" s="2" t="n">
        <v>-1059.5</v>
      </c>
      <c r="P171" s="4" t="n">
        <f aca="false">SUM(D171:O171)</f>
        <v>31248.75</v>
      </c>
      <c r="R171" s="16" t="n">
        <v>145000</v>
      </c>
    </row>
    <row r="172" customFormat="false" ht="15" hidden="false" customHeight="false" outlineLevel="0" collapsed="false">
      <c r="A172" s="8" t="s">
        <v>333</v>
      </c>
      <c r="B172" s="8" t="s">
        <v>334</v>
      </c>
      <c r="C172" s="16" t="n">
        <v>112302</v>
      </c>
      <c r="L172" s="2" t="n">
        <v>217109</v>
      </c>
      <c r="P172" s="4" t="n">
        <f aca="false">SUM(D172:O172)</f>
        <v>217109</v>
      </c>
      <c r="R172" s="16" t="n">
        <v>77030</v>
      </c>
    </row>
    <row r="173" customFormat="false" ht="15" hidden="false" customHeight="false" outlineLevel="0" collapsed="false">
      <c r="A173" s="8" t="s">
        <v>335</v>
      </c>
      <c r="B173" s="8" t="s">
        <v>336</v>
      </c>
      <c r="C173" s="16" t="n">
        <v>15000</v>
      </c>
      <c r="F173" s="2" t="n">
        <v>0</v>
      </c>
      <c r="M173" s="2" t="n">
        <v>1494.35</v>
      </c>
      <c r="P173" s="4" t="n">
        <f aca="false">SUM(D173:O173)</f>
        <v>1494.35</v>
      </c>
      <c r="R173" s="16" t="n">
        <v>25000</v>
      </c>
    </row>
    <row r="174" customFormat="false" ht="15" hidden="false" customHeight="false" outlineLevel="0" collapsed="false">
      <c r="A174" s="8" t="s">
        <v>337</v>
      </c>
      <c r="B174" s="8" t="s">
        <v>338</v>
      </c>
      <c r="C174" s="16" t="n">
        <v>15000</v>
      </c>
      <c r="E174" s="2" t="n">
        <v>128.56</v>
      </c>
      <c r="F174" s="2" t="n">
        <v>13537</v>
      </c>
      <c r="I174" s="2" t="n">
        <v>0</v>
      </c>
      <c r="K174" s="2"/>
      <c r="M174" s="2"/>
      <c r="P174" s="4" t="n">
        <f aca="false">SUM(D174:O174)</f>
        <v>13665.56</v>
      </c>
      <c r="R174" s="16" t="n">
        <v>20000</v>
      </c>
    </row>
    <row r="175" customFormat="false" ht="15" hidden="false" customHeight="false" outlineLevel="0" collapsed="false">
      <c r="A175" s="8" t="s">
        <v>339</v>
      </c>
      <c r="B175" s="8" t="s">
        <v>340</v>
      </c>
      <c r="C175" s="16" t="n">
        <v>80000</v>
      </c>
      <c r="D175" s="2" t="n">
        <f aca="false">2322+205.86</f>
        <v>2527.86</v>
      </c>
      <c r="E175" s="2" t="n">
        <v>5161.52</v>
      </c>
      <c r="F175" s="2" t="n">
        <v>39794.73</v>
      </c>
      <c r="G175" s="2" t="n">
        <v>5458.48</v>
      </c>
      <c r="H175" s="2" t="n">
        <v>2095.28</v>
      </c>
      <c r="I175" s="2" t="n">
        <v>6013.39</v>
      </c>
      <c r="J175" s="2" t="n">
        <v>2186.51</v>
      </c>
      <c r="K175" s="2" t="n">
        <v>2254.32</v>
      </c>
      <c r="L175" s="2" t="n">
        <v>4847.41</v>
      </c>
      <c r="M175" s="2" t="n">
        <f aca="false">490.28+12+2566.51</f>
        <v>3068.79</v>
      </c>
      <c r="N175" s="2" t="n">
        <v>4646.6</v>
      </c>
      <c r="O175" s="2" t="n">
        <v>5535.62</v>
      </c>
      <c r="P175" s="4" t="n">
        <f aca="false">SUM(D175:O175)</f>
        <v>83590.51</v>
      </c>
      <c r="R175" s="16" t="n">
        <v>80000</v>
      </c>
    </row>
    <row r="176" customFormat="false" ht="15" hidden="false" customHeight="false" outlineLevel="0" collapsed="false">
      <c r="A176" s="8" t="s">
        <v>341</v>
      </c>
      <c r="B176" s="8" t="s">
        <v>342</v>
      </c>
      <c r="C176" s="16" t="n">
        <v>150000</v>
      </c>
      <c r="D176" s="2" t="n">
        <f aca="false">51998.16-27553.87</f>
        <v>24444.29</v>
      </c>
      <c r="E176" s="2" t="n">
        <v>27553.87</v>
      </c>
      <c r="F176" s="2" t="n">
        <v>22974.94</v>
      </c>
      <c r="G176" s="2" t="n">
        <v>21048.46</v>
      </c>
      <c r="N176" s="2" t="n">
        <v>22745.16</v>
      </c>
      <c r="O176" s="2" t="n">
        <v>29317.84</v>
      </c>
      <c r="P176" s="4" t="n">
        <f aca="false">SUM(D176:O176)</f>
        <v>148084.56</v>
      </c>
      <c r="R176" s="16" t="n">
        <v>155000</v>
      </c>
    </row>
    <row r="177" customFormat="false" ht="15" hidden="false" customHeight="false" outlineLevel="0" collapsed="false">
      <c r="A177" s="8" t="s">
        <v>343</v>
      </c>
      <c r="B177" s="8" t="s">
        <v>344</v>
      </c>
      <c r="C177" s="16" t="n">
        <v>5000</v>
      </c>
      <c r="E177" s="2" t="n">
        <v>253.76</v>
      </c>
      <c r="G177" s="2" t="n">
        <v>126.88</v>
      </c>
      <c r="P177" s="2" t="n">
        <f aca="false">SUM(D177:O177)</f>
        <v>380.64</v>
      </c>
      <c r="R177" s="16" t="n">
        <v>5000</v>
      </c>
    </row>
    <row r="178" customFormat="false" ht="15" hidden="false" customHeight="false" outlineLevel="0" collapsed="false">
      <c r="A178" s="8" t="s">
        <v>345</v>
      </c>
      <c r="B178" s="8" t="s">
        <v>462</v>
      </c>
      <c r="C178" s="16" t="n">
        <v>75000</v>
      </c>
      <c r="D178" s="2" t="n">
        <v>10501.07</v>
      </c>
      <c r="E178" s="2" t="n">
        <v>15444.72</v>
      </c>
      <c r="F178" s="2" t="n">
        <v>15204.77</v>
      </c>
      <c r="G178" s="2" t="n">
        <v>8155.68</v>
      </c>
      <c r="H178" s="2" t="n">
        <v>3107.1</v>
      </c>
      <c r="K178" s="2" t="n">
        <v>6880.72</v>
      </c>
      <c r="L178" s="2" t="n">
        <v>41.69</v>
      </c>
      <c r="N178" s="2" t="n">
        <v>2273.8</v>
      </c>
      <c r="O178" s="2" t="n">
        <v>14051.46</v>
      </c>
      <c r="P178" s="4" t="n">
        <f aca="false">SUM(D178:O178)</f>
        <v>75661.01</v>
      </c>
      <c r="R178" s="16" t="n">
        <v>80000</v>
      </c>
    </row>
    <row r="179" customFormat="false" ht="15" hidden="false" customHeight="false" outlineLevel="0" collapsed="false">
      <c r="A179" s="8" t="s">
        <v>348</v>
      </c>
      <c r="B179" s="8" t="s">
        <v>349</v>
      </c>
      <c r="C179" s="16" t="n">
        <v>500</v>
      </c>
      <c r="P179" s="4" t="n">
        <f aca="false">SUM(D179:O179)</f>
        <v>0</v>
      </c>
      <c r="R179" s="16" t="n">
        <v>500</v>
      </c>
    </row>
    <row r="180" customFormat="false" ht="15" hidden="false" customHeight="false" outlineLevel="0" collapsed="false">
      <c r="A180" s="8" t="s">
        <v>350</v>
      </c>
      <c r="B180" s="8" t="s">
        <v>242</v>
      </c>
      <c r="C180" s="16" t="n">
        <v>52000</v>
      </c>
      <c r="O180" s="2" t="n">
        <v>27339</v>
      </c>
      <c r="P180" s="4" t="n">
        <f aca="false">SUM(D180:O180)</f>
        <v>27339</v>
      </c>
      <c r="R180" s="16" t="n">
        <v>48000</v>
      </c>
    </row>
    <row r="181" customFormat="false" ht="15" hidden="false" customHeight="false" outlineLevel="0" collapsed="false">
      <c r="A181" s="8" t="s">
        <v>351</v>
      </c>
      <c r="B181" s="8" t="s">
        <v>352</v>
      </c>
      <c r="C181" s="16" t="n">
        <v>24000</v>
      </c>
      <c r="D181" s="2" t="n">
        <f aca="false">4571-2701.06</f>
        <v>1869.94</v>
      </c>
      <c r="E181" s="2" t="n">
        <v>2701.06</v>
      </c>
      <c r="F181" s="2" t="n">
        <v>1757.57</v>
      </c>
      <c r="G181" s="2" t="n">
        <v>1619.92</v>
      </c>
      <c r="H181" s="2" t="n">
        <v>2046.06</v>
      </c>
      <c r="I181" s="2" t="n">
        <v>1521.84</v>
      </c>
      <c r="J181" s="2" t="n">
        <v>1397.87</v>
      </c>
      <c r="K181" s="2" t="n">
        <v>1419.25</v>
      </c>
      <c r="L181" s="2" t="n">
        <v>1469.67</v>
      </c>
      <c r="M181" s="2" t="n">
        <v>1399.46</v>
      </c>
      <c r="N181" s="2" t="n">
        <v>2641.71</v>
      </c>
      <c r="O181" s="2" t="n">
        <v>2242.83</v>
      </c>
      <c r="P181" s="4" t="n">
        <f aca="false">SUM(D181:O181)</f>
        <v>22087.18</v>
      </c>
      <c r="R181" s="16" t="n">
        <v>24500</v>
      </c>
    </row>
    <row r="182" customFormat="false" ht="15" hidden="false" customHeight="false" outlineLevel="0" collapsed="false">
      <c r="A182" s="8" t="s">
        <v>353</v>
      </c>
      <c r="B182" s="8" t="s">
        <v>246</v>
      </c>
      <c r="C182" s="16" t="n">
        <v>9000</v>
      </c>
      <c r="D182" s="2" t="n">
        <v>8963.24</v>
      </c>
      <c r="P182" s="4" t="n">
        <f aca="false">SUM(D182:O182)</f>
        <v>8963.24</v>
      </c>
      <c r="R182" s="16" t="n">
        <v>9000</v>
      </c>
    </row>
    <row r="183" customFormat="false" ht="15" hidden="false" customHeight="false" outlineLevel="0" collapsed="false">
      <c r="A183" s="8" t="s">
        <v>354</v>
      </c>
      <c r="B183" s="8" t="s">
        <v>248</v>
      </c>
      <c r="C183" s="16" t="n">
        <v>4000</v>
      </c>
      <c r="P183" s="4" t="n">
        <f aca="false">SUM(D183:O183)</f>
        <v>0</v>
      </c>
      <c r="R183" s="16" t="n">
        <v>4000</v>
      </c>
    </row>
    <row r="184" customFormat="false" ht="15" hidden="false" customHeight="false" outlineLevel="0" collapsed="false">
      <c r="A184" s="8" t="s">
        <v>355</v>
      </c>
      <c r="B184" s="8" t="s">
        <v>252</v>
      </c>
      <c r="C184" s="16" t="n">
        <v>300</v>
      </c>
      <c r="D184" s="2" t="n">
        <v>300</v>
      </c>
      <c r="P184" s="4" t="n">
        <f aca="false">SUM(D184:O184)</f>
        <v>300</v>
      </c>
      <c r="R184" s="16" t="n">
        <v>300</v>
      </c>
    </row>
    <row r="185" customFormat="false" ht="15" hidden="false" customHeight="false" outlineLevel="0" collapsed="false">
      <c r="A185" s="8" t="s">
        <v>356</v>
      </c>
      <c r="B185" s="8" t="s">
        <v>254</v>
      </c>
      <c r="C185" s="16" t="n">
        <v>120000</v>
      </c>
      <c r="D185" s="2" t="n">
        <f aca="false">24208.54-15854.27+7018.32</f>
        <v>15372.59</v>
      </c>
      <c r="E185" s="2" t="n">
        <v>15854.27</v>
      </c>
      <c r="F185" s="2" t="n">
        <v>10626.79</v>
      </c>
      <c r="G185" s="2" t="n">
        <v>9402.15</v>
      </c>
      <c r="H185" s="2" t="n">
        <v>9785.48</v>
      </c>
      <c r="I185" s="2" t="n">
        <v>10584.48</v>
      </c>
      <c r="J185" s="2" t="n">
        <v>9130.87</v>
      </c>
      <c r="K185" s="2" t="n">
        <v>10004</v>
      </c>
      <c r="L185" s="2" t="n">
        <v>8354.27</v>
      </c>
      <c r="M185" s="2" t="n">
        <v>8764.27</v>
      </c>
      <c r="N185" s="2" t="n">
        <f aca="false">2391.33+4127.8</f>
        <v>6519.13</v>
      </c>
      <c r="O185" s="2" t="n">
        <v>15959.22</v>
      </c>
      <c r="P185" s="4" t="n">
        <f aca="false">SUM(D185:O185)</f>
        <v>130357.52</v>
      </c>
      <c r="R185" s="16" t="n">
        <v>125000</v>
      </c>
    </row>
    <row r="186" customFormat="false" ht="15" hidden="false" customHeight="false" outlineLevel="0" collapsed="false">
      <c r="A186" s="8" t="s">
        <v>357</v>
      </c>
      <c r="B186" s="8" t="s">
        <v>358</v>
      </c>
      <c r="C186" s="16" t="n">
        <v>600</v>
      </c>
      <c r="I186" s="2" t="n">
        <v>102</v>
      </c>
      <c r="L186" s="2" t="n">
        <v>102</v>
      </c>
      <c r="P186" s="4" t="n">
        <f aca="false">SUM(D186:O186)</f>
        <v>204</v>
      </c>
      <c r="R186" s="16" t="n">
        <v>600</v>
      </c>
    </row>
    <row r="187" customFormat="false" ht="15" hidden="false" customHeight="false" outlineLevel="0" collapsed="false">
      <c r="A187" s="8" t="s">
        <v>359</v>
      </c>
      <c r="B187" s="8" t="s">
        <v>360</v>
      </c>
      <c r="C187" s="16" t="n">
        <v>7500</v>
      </c>
      <c r="F187" s="2" t="n">
        <v>3000</v>
      </c>
      <c r="N187" s="0" t="n">
        <v>375.55</v>
      </c>
      <c r="P187" s="4" t="n">
        <f aca="false">SUM(D187:O187)</f>
        <v>3375.55</v>
      </c>
      <c r="R187" s="16" t="n">
        <v>6500</v>
      </c>
    </row>
    <row r="188" customFormat="false" ht="15" hidden="false" customHeight="false" outlineLevel="0" collapsed="false">
      <c r="A188" s="8" t="s">
        <v>361</v>
      </c>
      <c r="B188" s="8" t="s">
        <v>362</v>
      </c>
      <c r="C188" s="16" t="n">
        <v>0</v>
      </c>
      <c r="P188" s="4" t="n">
        <v>37000</v>
      </c>
      <c r="R188" s="4" t="n">
        <v>37000</v>
      </c>
    </row>
    <row r="189" customFormat="false" ht="15" hidden="false" customHeight="false" outlineLevel="0" collapsed="false">
      <c r="A189" s="8" t="s">
        <v>363</v>
      </c>
      <c r="B189" s="8" t="s">
        <v>364</v>
      </c>
      <c r="C189" s="16" t="n">
        <v>0</v>
      </c>
      <c r="P189" s="4" t="n">
        <f aca="false">SUM(D189:O189)</f>
        <v>0</v>
      </c>
    </row>
    <row r="190" customFormat="false" ht="15" hidden="false" customHeight="false" outlineLevel="0" collapsed="false">
      <c r="A190" s="8" t="s">
        <v>365</v>
      </c>
      <c r="B190" s="8" t="s">
        <v>366</v>
      </c>
      <c r="C190" s="16" t="n">
        <v>0</v>
      </c>
      <c r="P190" s="4" t="n">
        <v>2650</v>
      </c>
      <c r="R190" s="4" t="n">
        <v>2650</v>
      </c>
      <c r="S190" s="0" t="s">
        <v>445</v>
      </c>
      <c r="T190" s="14" t="s">
        <v>443</v>
      </c>
      <c r="U190" s="0" t="s">
        <v>444</v>
      </c>
    </row>
    <row r="191" customFormat="false" ht="15" hidden="false" customHeight="false" outlineLevel="0" collapsed="false">
      <c r="A191" s="8" t="s">
        <v>367</v>
      </c>
      <c r="B191" s="8" t="s">
        <v>368</v>
      </c>
      <c r="C191" s="16" t="n">
        <v>0</v>
      </c>
      <c r="P191" s="4" t="n">
        <f aca="false">SUM(D191:O191)</f>
        <v>0</v>
      </c>
      <c r="S191" s="1" t="n">
        <v>44104</v>
      </c>
      <c r="T191" s="25" t="n">
        <v>379802</v>
      </c>
    </row>
    <row r="192" customFormat="false" ht="15" hidden="false" customHeight="false" outlineLevel="0" collapsed="false">
      <c r="A192" s="8" t="s">
        <v>369</v>
      </c>
      <c r="B192" s="8" t="s">
        <v>370</v>
      </c>
      <c r="C192" s="16" t="n">
        <v>10000</v>
      </c>
      <c r="P192" s="4" t="n">
        <f aca="false">SUM(D192:O192)</f>
        <v>0</v>
      </c>
      <c r="R192" s="16" t="n">
        <v>10000</v>
      </c>
      <c r="S192" s="0" t="s">
        <v>447</v>
      </c>
      <c r="T192" s="12" t="n">
        <v>3094</v>
      </c>
      <c r="U192" s="0" t="s">
        <v>449</v>
      </c>
      <c r="W192" s="0" t="s">
        <v>450</v>
      </c>
      <c r="X192" s="0" t="s">
        <v>451</v>
      </c>
    </row>
    <row r="193" customFormat="false" ht="15" hidden="false" customHeight="false" outlineLevel="0" collapsed="false">
      <c r="A193" s="8"/>
      <c r="B193" s="8"/>
      <c r="C193" s="16"/>
      <c r="P193" s="4" t="n">
        <f aca="false">SUM(D193:O193)</f>
        <v>0</v>
      </c>
      <c r="S193" s="1" t="s">
        <v>463</v>
      </c>
      <c r="T193" s="16" t="n">
        <v>66000</v>
      </c>
      <c r="W193" s="0" t="s">
        <v>454</v>
      </c>
    </row>
    <row r="194" customFormat="false" ht="15" hidden="false" customHeight="false" outlineLevel="0" collapsed="false">
      <c r="A194" s="8"/>
      <c r="B194" s="14" t="s">
        <v>455</v>
      </c>
      <c r="C194" s="16" t="n">
        <f aca="false">SUM(C170:C193)</f>
        <v>975202</v>
      </c>
      <c r="D194" s="2" t="n">
        <f aca="false">SUM(D170:D193)</f>
        <v>63978.99</v>
      </c>
      <c r="E194" s="2" t="n">
        <f aca="false">SUM(E170:E193)</f>
        <v>67097.76</v>
      </c>
      <c r="F194" s="2" t="n">
        <f aca="false">SUM(F170:F193)</f>
        <v>106895.8</v>
      </c>
      <c r="G194" s="2" t="n">
        <f aca="false">SUM(G170:G193)</f>
        <v>46058.27</v>
      </c>
      <c r="H194" s="2" t="n">
        <f aca="false">SUM(H170:H193)</f>
        <v>48705.49</v>
      </c>
      <c r="I194" s="2" t="n">
        <f aca="false">SUM(I170:I193)</f>
        <v>45068.25</v>
      </c>
      <c r="J194" s="2" t="n">
        <f aca="false">SUM(J170:J193)</f>
        <v>36632.37</v>
      </c>
      <c r="K194" s="2" t="n">
        <f aca="false">SUM(K170:K193)</f>
        <v>51148.59</v>
      </c>
      <c r="L194" s="2" t="n">
        <f aca="false">SUM(L170:L193)</f>
        <v>253366.26</v>
      </c>
      <c r="M194" s="2" t="n">
        <f aca="false">SUM(M170:M193)</f>
        <v>33289.61</v>
      </c>
      <c r="N194" s="2" t="n">
        <f aca="false">SUM(N170:N193)</f>
        <v>49929.14</v>
      </c>
      <c r="O194" s="2" t="n">
        <f aca="false">SUM(O170:O193)</f>
        <v>94445.97</v>
      </c>
      <c r="P194" s="4" t="n">
        <f aca="false">SUM(D194:O194)</f>
        <v>896616.5</v>
      </c>
      <c r="R194" s="5" t="n">
        <f aca="false">SUM(R170:R193)</f>
        <v>1010080</v>
      </c>
      <c r="T194" s="26" t="n">
        <f aca="false">SUM(T191:T193)</f>
        <v>448896</v>
      </c>
      <c r="U194" s="21" t="n">
        <f aca="false">SUM(M194:O194)</f>
        <v>177664.72</v>
      </c>
      <c r="V194" s="26" t="n">
        <f aca="false">T194-U194</f>
        <v>271231.28</v>
      </c>
      <c r="W194" s="16" t="n">
        <v>-160000</v>
      </c>
      <c r="X194" s="26" t="n">
        <f aca="false">SUM(V194:W194)</f>
        <v>111231.28</v>
      </c>
    </row>
    <row r="195" customFormat="false" ht="15" hidden="false" customHeight="false" outlineLevel="0" collapsed="false">
      <c r="B195" s="14"/>
      <c r="C195" s="16"/>
      <c r="Q195" s="0" t="s">
        <v>457</v>
      </c>
      <c r="R195" s="16" t="n">
        <v>768000</v>
      </c>
      <c r="T195" s="16" t="n">
        <f aca="false">-1010080+768000</f>
        <v>-242080</v>
      </c>
    </row>
    <row r="196" customFormat="false" ht="15" hidden="false" customHeight="false" outlineLevel="0" collapsed="false">
      <c r="A196" s="8"/>
      <c r="B196" s="14" t="s">
        <v>385</v>
      </c>
      <c r="C196" s="16"/>
    </row>
    <row r="197" customFormat="false" ht="15" hidden="false" customHeight="false" outlineLevel="0" collapsed="false">
      <c r="A197" s="8" t="s">
        <v>388</v>
      </c>
      <c r="B197" s="8" t="s">
        <v>266</v>
      </c>
      <c r="C197" s="16" t="n">
        <v>135916</v>
      </c>
      <c r="D197" s="2" t="n">
        <v>135916</v>
      </c>
      <c r="E197" s="0" t="n">
        <v>0.33</v>
      </c>
      <c r="F197" s="2" t="n">
        <v>0.13</v>
      </c>
      <c r="G197" s="2" t="n">
        <v>0.14</v>
      </c>
      <c r="H197" s="2" t="n">
        <v>0.16</v>
      </c>
      <c r="I197" s="2" t="n">
        <v>0.22</v>
      </c>
      <c r="J197" s="2" t="n">
        <v>0.22</v>
      </c>
      <c r="K197" s="2" t="n">
        <v>0.21</v>
      </c>
      <c r="M197" s="2" t="n">
        <v>0.19</v>
      </c>
      <c r="P197" s="4" t="n">
        <f aca="false">SUM(D197:O197)</f>
        <v>135917.6</v>
      </c>
      <c r="R197" s="18" t="n">
        <v>139502</v>
      </c>
    </row>
    <row r="198" customFormat="false" ht="15" hidden="false" customHeight="false" outlineLevel="0" collapsed="false">
      <c r="A198" s="8" t="s">
        <v>386</v>
      </c>
      <c r="B198" s="8" t="s">
        <v>387</v>
      </c>
      <c r="C198" s="16" t="n">
        <f aca="false">136766-850</f>
        <v>135916</v>
      </c>
      <c r="D198" s="2" t="n">
        <v>136766</v>
      </c>
      <c r="P198" s="4" t="n">
        <f aca="false">SUM(D198:O198)</f>
        <v>136766</v>
      </c>
      <c r="R198" s="18" t="n">
        <v>139502</v>
      </c>
    </row>
    <row r="200" customFormat="false" ht="15" hidden="false" customHeight="false" outlineLevel="0" collapsed="false">
      <c r="B200" s="0" t="n">
        <v>2019</v>
      </c>
      <c r="C200" s="21" t="n">
        <f aca="false">C194+C198+C159</f>
        <v>2539436</v>
      </c>
    </row>
    <row r="201" customFormat="false" ht="15" hidden="false" customHeight="false" outlineLevel="0" collapsed="false">
      <c r="B201" s="0" t="n">
        <v>2018</v>
      </c>
      <c r="C201" s="16" t="n">
        <v>2530311</v>
      </c>
    </row>
    <row r="202" customFormat="false" ht="15" hidden="false" customHeight="false" outlineLevel="0" collapsed="false">
      <c r="B202" s="0" t="s">
        <v>464</v>
      </c>
      <c r="C202" s="21" t="n">
        <f aca="false">C200-C201</f>
        <v>9125</v>
      </c>
    </row>
    <row r="203" customFormat="false" ht="15" hidden="false" customHeight="false" outlineLevel="0" collapsed="false">
      <c r="C203" s="23" t="s">
        <v>465</v>
      </c>
      <c r="D203" s="0" t="s">
        <v>466</v>
      </c>
      <c r="E203" s="0" t="s">
        <v>466</v>
      </c>
      <c r="F203" s="0" t="s">
        <v>466</v>
      </c>
      <c r="G203" s="0" t="s">
        <v>466</v>
      </c>
      <c r="I203" s="0" t="s">
        <v>467</v>
      </c>
      <c r="O203" s="0" t="s">
        <v>467</v>
      </c>
    </row>
    <row r="204" customFormat="false" ht="15" hidden="false" customHeight="false" outlineLevel="0" collapsed="false">
      <c r="B204" s="22" t="s">
        <v>468</v>
      </c>
      <c r="C204" s="23" t="n">
        <v>2019</v>
      </c>
      <c r="D204" s="23" t="n">
        <v>2018</v>
      </c>
      <c r="E204" s="23" t="n">
        <v>2017</v>
      </c>
      <c r="F204" s="23" t="n">
        <v>2016</v>
      </c>
      <c r="G204" s="23" t="n">
        <v>2015</v>
      </c>
      <c r="I204" s="23" t="n">
        <v>2020</v>
      </c>
      <c r="O204" s="23" t="n">
        <v>2020</v>
      </c>
    </row>
    <row r="205" customFormat="false" ht="15" hidden="false" customHeight="false" outlineLevel="0" collapsed="false">
      <c r="C205" s="0" t="s">
        <v>469</v>
      </c>
      <c r="D205" s="0" t="s">
        <v>470</v>
      </c>
      <c r="E205" s="0" t="s">
        <v>470</v>
      </c>
      <c r="F205" s="0" t="s">
        <v>470</v>
      </c>
      <c r="G205" s="0" t="s">
        <v>470</v>
      </c>
      <c r="L205" s="0" t="s">
        <v>471</v>
      </c>
    </row>
    <row r="206" customFormat="false" ht="15" hidden="false" customHeight="false" outlineLevel="0" collapsed="false">
      <c r="H206" s="0" t="s">
        <v>472</v>
      </c>
      <c r="I206" s="28" t="n">
        <f aca="false">145142/155142.155</f>
        <v>0.935541987282567</v>
      </c>
    </row>
    <row r="207" customFormat="false" ht="15" hidden="false" customHeight="false" outlineLevel="0" collapsed="false">
      <c r="B207" s="0" t="s">
        <v>473</v>
      </c>
      <c r="C207" s="29" t="n">
        <v>1.01</v>
      </c>
      <c r="D207" s="0" t="n">
        <v>0.9972</v>
      </c>
      <c r="E207" s="0" t="n">
        <v>0.97</v>
      </c>
      <c r="F207" s="0" t="n">
        <v>0.95</v>
      </c>
      <c r="G207" s="0" t="n">
        <v>1.07</v>
      </c>
      <c r="I207" s="28" t="n">
        <f aca="false">155142/155142.155</f>
        <v>0.999999000916289</v>
      </c>
      <c r="J207" s="0" t="n">
        <v>-0.01</v>
      </c>
      <c r="L207" s="25" t="n">
        <f aca="false">926073-906991</f>
        <v>19082</v>
      </c>
      <c r="O207" s="0" t="n">
        <v>1.03</v>
      </c>
    </row>
    <row r="208" customFormat="false" ht="15" hidden="false" customHeight="false" outlineLevel="0" collapsed="false">
      <c r="B208" s="0" t="s">
        <v>474</v>
      </c>
      <c r="C208" s="0" t="n">
        <v>3.9499</v>
      </c>
      <c r="D208" s="0" t="n">
        <v>3.8781</v>
      </c>
      <c r="E208" s="0" t="n">
        <v>3.83</v>
      </c>
      <c r="F208" s="0" t="n">
        <v>3.84</v>
      </c>
      <c r="G208" s="0" t="n">
        <v>4.97</v>
      </c>
      <c r="I208" s="0" t="n">
        <f aca="false">631429/155142.155</f>
        <v>4.07000276617274</v>
      </c>
      <c r="J208" s="0" t="n">
        <v>0.12</v>
      </c>
    </row>
    <row r="210" customFormat="false" ht="15" hidden="false" customHeight="false" outlineLevel="0" collapsed="false">
      <c r="B210" s="30" t="s">
        <v>475</v>
      </c>
      <c r="C210" s="30" t="n">
        <v>4.96</v>
      </c>
      <c r="D210" s="30" t="n">
        <v>4.88</v>
      </c>
      <c r="E210" s="30" t="n">
        <v>4.83</v>
      </c>
      <c r="F210" s="30" t="n">
        <v>4.81</v>
      </c>
      <c r="G210" s="30" t="n">
        <v>6.07</v>
      </c>
      <c r="I210" s="0" t="n">
        <f aca="false">SUM(I207:I209)</f>
        <v>5.07000176708903</v>
      </c>
      <c r="J210" s="30" t="n">
        <v>0.11</v>
      </c>
    </row>
    <row r="211" customFormat="false" ht="15" hidden="false" customHeight="false" outlineLevel="0" collapsed="false">
      <c r="B211" s="30" t="s">
        <v>476</v>
      </c>
      <c r="C211" s="31" t="n">
        <f aca="false">4.96/4.88</f>
        <v>1.01639344262295</v>
      </c>
      <c r="D211" s="29" t="n">
        <f aca="false">4.88/4.83</f>
        <v>1.01035196687371</v>
      </c>
      <c r="E211" s="29" t="n">
        <f aca="false">4.83/4.81</f>
        <v>1.004158004158</v>
      </c>
      <c r="F211" s="30"/>
      <c r="G211" s="30"/>
      <c r="I211" s="31" t="n">
        <f aca="false">5.07/4.96</f>
        <v>1.02217741935484</v>
      </c>
    </row>
    <row r="212" customFormat="false" ht="15" hidden="false" customHeight="false" outlineLevel="0" collapsed="false">
      <c r="B212" s="30"/>
      <c r="C212" s="31"/>
      <c r="D212" s="29"/>
      <c r="E212" s="29"/>
      <c r="F212" s="30"/>
      <c r="G212" s="30"/>
    </row>
    <row r="213" customFormat="false" ht="15" hidden="false" customHeight="false" outlineLevel="0" collapsed="false">
      <c r="B213" s="0" t="s">
        <v>477</v>
      </c>
      <c r="C213" s="0" t="n">
        <v>0.8608</v>
      </c>
      <c r="D213" s="0" t="n">
        <v>0.8488</v>
      </c>
      <c r="E213" s="32" t="n">
        <v>0.83</v>
      </c>
      <c r="F213" s="0" t="n">
        <v>0.77</v>
      </c>
      <c r="G213" s="0" t="n">
        <v>0.98</v>
      </c>
      <c r="I213" s="0" t="n">
        <f aca="false">139502/157599.253</f>
        <v>0.885169170186359</v>
      </c>
      <c r="J213" s="0" t="n">
        <v>0.025</v>
      </c>
      <c r="L213" s="0" t="n">
        <f aca="false">0.8851692/0.8608</f>
        <v>1.02830994423792</v>
      </c>
      <c r="O213" s="0" t="n">
        <v>0.89</v>
      </c>
    </row>
    <row r="214" customFormat="false" ht="15" hidden="false" customHeight="false" outlineLevel="0" collapsed="false">
      <c r="B214" s="30" t="s">
        <v>476</v>
      </c>
      <c r="C214" s="29" t="n">
        <f aca="false">0.8608/0.8488</f>
        <v>1.01413760603205</v>
      </c>
      <c r="D214" s="29" t="n">
        <f aca="false">0.8488/0.83</f>
        <v>1.02265060240964</v>
      </c>
      <c r="E214" s="29" t="n">
        <f aca="false">0.83/0.77</f>
        <v>1.07792207792208</v>
      </c>
      <c r="I214" s="29" t="n">
        <f aca="false">0.885/0.86</f>
        <v>1.02906976744186</v>
      </c>
    </row>
    <row r="216" customFormat="false" ht="15" hidden="false" customHeight="false" outlineLevel="0" collapsed="false">
      <c r="B216" s="0" t="n">
        <f aca="false">D216-C216</f>
        <v>-0.0966000000000005</v>
      </c>
      <c r="C216" s="0" t="n">
        <f aca="false">C207+C208+C213</f>
        <v>5.8207</v>
      </c>
      <c r="D216" s="0" t="n">
        <f aca="false">D207+D208+D213</f>
        <v>5.7241</v>
      </c>
      <c r="I216" s="31" t="n">
        <f aca="false">5.96/5.82</f>
        <v>1.02405498281787</v>
      </c>
      <c r="O216" s="0" t="n">
        <v>5.995</v>
      </c>
    </row>
    <row r="217" customFormat="false" ht="15" hidden="false" customHeight="false" outlineLevel="0" collapsed="false">
      <c r="B217" s="0" t="n">
        <f aca="false">B216/D216</f>
        <v>-0.0168760154434759</v>
      </c>
    </row>
  </sheetData>
  <printOptions headings="false" gridLines="tru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00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8.67"/>
    <col collapsed="false" customWidth="true" hidden="false" outlineLevel="0" max="3" min="3" style="0" width="17.58"/>
    <col collapsed="false" customWidth="true" hidden="false" outlineLevel="0" max="5" min="4" style="0" width="8.67"/>
    <col collapsed="false" customWidth="true" hidden="false" outlineLevel="0" max="7" min="6" style="0" width="11.57"/>
    <col collapsed="false" customWidth="true" hidden="false" outlineLevel="0" max="8" min="8" style="0" width="8.67"/>
    <col collapsed="false" customWidth="true" hidden="false" outlineLevel="0" max="9" min="9" style="0" width="11.57"/>
    <col collapsed="false" customWidth="true" hidden="false" outlineLevel="0" max="10" min="10" style="0" width="9.71"/>
    <col collapsed="false" customWidth="true" hidden="false" outlineLevel="0" max="11" min="11" style="0" width="10.71"/>
    <col collapsed="false" customWidth="true" hidden="false" outlineLevel="0" max="12" min="12" style="0" width="11.57"/>
    <col collapsed="false" customWidth="true" hidden="false" outlineLevel="0" max="13" min="13" style="0" width="10.58"/>
    <col collapsed="false" customWidth="true" hidden="false" outlineLevel="0" max="1025" min="14" style="0" width="8.67"/>
  </cols>
  <sheetData>
    <row r="1" customFormat="false" ht="15" hidden="false" customHeight="false" outlineLevel="0" collapsed="false">
      <c r="A1" s="0" t="s">
        <v>478</v>
      </c>
    </row>
    <row r="2" customFormat="false" ht="15" hidden="false" customHeight="false" outlineLevel="0" collapsed="false">
      <c r="I2" s="23" t="n">
        <v>2018</v>
      </c>
      <c r="K2" s="23" t="n">
        <v>2019</v>
      </c>
      <c r="L2" s="0" t="s">
        <v>479</v>
      </c>
      <c r="M2" s="0" t="s">
        <v>480</v>
      </c>
    </row>
    <row r="3" customFormat="false" ht="15" hidden="false" customHeight="false" outlineLevel="0" collapsed="false">
      <c r="A3" s="0" t="s">
        <v>481</v>
      </c>
      <c r="B3" s="0" t="s">
        <v>4</v>
      </c>
      <c r="C3" s="0" t="s">
        <v>482</v>
      </c>
      <c r="F3" s="0" t="s">
        <v>483</v>
      </c>
      <c r="G3" s="0" t="s">
        <v>481</v>
      </c>
      <c r="H3" s="0" t="s">
        <v>4</v>
      </c>
      <c r="J3" s="1" t="n">
        <v>43551</v>
      </c>
    </row>
    <row r="4" customFormat="false" ht="15" hidden="false" customHeight="false" outlineLevel="0" collapsed="false">
      <c r="A4" s="1" t="n">
        <v>42979</v>
      </c>
      <c r="B4" s="0" t="n">
        <v>1076723</v>
      </c>
      <c r="C4" s="0" t="s">
        <v>484</v>
      </c>
      <c r="F4" s="3" t="n">
        <v>21958.2</v>
      </c>
      <c r="G4" s="1" t="n">
        <v>43348</v>
      </c>
      <c r="H4" s="0" t="n">
        <v>26571</v>
      </c>
      <c r="I4" s="3" t="n">
        <f aca="false">22206.8</f>
        <v>22206.8</v>
      </c>
      <c r="J4" s="0" t="n">
        <f aca="false">6886+1068.1+14252.7</f>
        <v>22206.8</v>
      </c>
      <c r="K4" s="2" t="n">
        <f aca="false">22240-22371</f>
        <v>-131</v>
      </c>
      <c r="L4" s="2" t="n">
        <v>24174.7</v>
      </c>
      <c r="M4" s="33" t="n">
        <f aca="false">L4-I4</f>
        <v>1967.9</v>
      </c>
      <c r="N4" s="34" t="n">
        <f aca="false">M4/I4</f>
        <v>0.0886170001981376</v>
      </c>
    </row>
    <row r="5" customFormat="false" ht="15" hidden="false" customHeight="false" outlineLevel="0" collapsed="false">
      <c r="A5" s="1"/>
      <c r="C5" s="0" t="s">
        <v>485</v>
      </c>
      <c r="F5" s="3" t="n">
        <f aca="false">2608+80</f>
        <v>2688</v>
      </c>
      <c r="G5" s="3"/>
      <c r="I5" s="2" t="n">
        <v>3560.7</v>
      </c>
      <c r="L5" s="2" t="n">
        <v>3561.8</v>
      </c>
      <c r="M5" s="33" t="n">
        <f aca="false">L5-I5</f>
        <v>1.10000000000036</v>
      </c>
    </row>
    <row r="6" customFormat="false" ht="15" hidden="false" customHeight="false" outlineLevel="0" collapsed="false">
      <c r="A6" s="1" t="n">
        <v>43616</v>
      </c>
      <c r="C6" s="0" t="s">
        <v>486</v>
      </c>
      <c r="F6" s="3" t="n">
        <v>987</v>
      </c>
      <c r="G6" s="35" t="n">
        <v>43344</v>
      </c>
      <c r="H6" s="0" t="n">
        <v>26388</v>
      </c>
      <c r="I6" s="3" t="n">
        <v>987</v>
      </c>
      <c r="J6" s="0" t="n">
        <v>28766</v>
      </c>
      <c r="K6" s="2" t="n">
        <v>987</v>
      </c>
    </row>
    <row r="7" customFormat="false" ht="15" hidden="false" customHeight="false" outlineLevel="0" collapsed="false">
      <c r="B7" s="0" t="n">
        <v>1076724</v>
      </c>
      <c r="C7" s="0" t="s">
        <v>487</v>
      </c>
      <c r="F7" s="2" t="n">
        <v>33.88</v>
      </c>
      <c r="G7" s="1" t="n">
        <v>43348</v>
      </c>
      <c r="H7" s="0" t="n">
        <v>26571</v>
      </c>
      <c r="I7" s="2" t="n">
        <v>33.35</v>
      </c>
      <c r="J7" s="0" t="n">
        <v>28140</v>
      </c>
      <c r="K7" s="2" t="n">
        <v>9.99</v>
      </c>
      <c r="L7" s="2" t="n">
        <v>36.36</v>
      </c>
      <c r="M7" s="33" t="n">
        <f aca="false">L7-I7</f>
        <v>3.01</v>
      </c>
    </row>
    <row r="8" customFormat="false" ht="15" hidden="false" customHeight="false" outlineLevel="0" collapsed="false">
      <c r="B8" s="0" t="n">
        <v>1076727</v>
      </c>
      <c r="C8" s="0" t="s">
        <v>488</v>
      </c>
      <c r="F8" s="2" t="n">
        <v>2583.9</v>
      </c>
      <c r="G8" s="1" t="n">
        <v>43348</v>
      </c>
      <c r="H8" s="0" t="n">
        <v>26573</v>
      </c>
      <c r="I8" s="2" t="n">
        <f aca="false">2559.7+90</f>
        <v>2649.7</v>
      </c>
      <c r="J8" s="0" t="n">
        <v>28141</v>
      </c>
      <c r="K8" s="2" t="n">
        <v>216.8</v>
      </c>
      <c r="L8" s="2" t="n">
        <f aca="false">3097.6+100</f>
        <v>3197.6</v>
      </c>
      <c r="M8" s="33" t="n">
        <f aca="false">L8-I8</f>
        <v>547.9</v>
      </c>
      <c r="N8" s="34" t="n">
        <f aca="false">M8/I8</f>
        <v>0.206778125825565</v>
      </c>
    </row>
    <row r="9" customFormat="false" ht="15" hidden="false" customHeight="false" outlineLevel="0" collapsed="false">
      <c r="B9" s="0" t="n">
        <v>1076728</v>
      </c>
      <c r="C9" s="0" t="s">
        <v>489</v>
      </c>
      <c r="F9" s="2" t="n">
        <v>3800.5</v>
      </c>
      <c r="G9" s="1" t="n">
        <v>43348</v>
      </c>
      <c r="H9" s="0" t="n">
        <v>26575</v>
      </c>
      <c r="I9" s="2" t="n">
        <v>4371.4</v>
      </c>
      <c r="L9" s="2" t="n">
        <v>4379.1</v>
      </c>
      <c r="M9" s="33" t="n">
        <f aca="false">L9-I9</f>
        <v>7.70000000000073</v>
      </c>
    </row>
    <row r="10" customFormat="false" ht="15" hidden="false" customHeight="false" outlineLevel="0" collapsed="false">
      <c r="B10" s="0" t="n">
        <v>1076729</v>
      </c>
      <c r="C10" s="0" t="s">
        <v>490</v>
      </c>
      <c r="F10" s="2" t="n">
        <v>5991.7</v>
      </c>
      <c r="G10" s="1" t="n">
        <v>43348</v>
      </c>
      <c r="H10" s="0" t="n">
        <v>26574</v>
      </c>
      <c r="I10" s="2" t="n">
        <v>6238.1</v>
      </c>
      <c r="L10" s="2" t="n">
        <v>6261.2</v>
      </c>
      <c r="M10" s="33" t="n">
        <f aca="false">L10-I10</f>
        <v>23.0999999999995</v>
      </c>
    </row>
    <row r="11" customFormat="false" ht="15" hidden="false" customHeight="false" outlineLevel="0" collapsed="false">
      <c r="B11" s="0" t="n">
        <v>1076730</v>
      </c>
      <c r="C11" s="0" t="s">
        <v>491</v>
      </c>
      <c r="F11" s="2" t="n">
        <v>275</v>
      </c>
      <c r="G11" s="1" t="n">
        <v>43348</v>
      </c>
      <c r="H11" s="0" t="n">
        <v>26572</v>
      </c>
      <c r="I11" s="2" t="n">
        <v>275</v>
      </c>
      <c r="L11" s="2" t="n">
        <v>275</v>
      </c>
      <c r="M11" s="33" t="n">
        <f aca="false">L11-I11</f>
        <v>0</v>
      </c>
    </row>
    <row r="12" customFormat="false" ht="15" hidden="false" customHeight="false" outlineLevel="0" collapsed="false">
      <c r="A12" s="1" t="n">
        <v>42991</v>
      </c>
      <c r="B12" s="0" t="n">
        <v>24023</v>
      </c>
      <c r="C12" s="0" t="s">
        <v>492</v>
      </c>
      <c r="F12" s="2" t="n">
        <v>79.3</v>
      </c>
      <c r="G12" s="2"/>
    </row>
    <row r="13" customFormat="false" ht="15" hidden="false" customHeight="false" outlineLevel="0" collapsed="false">
      <c r="A13" s="1" t="n">
        <v>42986</v>
      </c>
      <c r="B13" s="0" t="n">
        <v>24024</v>
      </c>
      <c r="C13" s="0" t="s">
        <v>493</v>
      </c>
      <c r="F13" s="2" t="n">
        <v>343.3</v>
      </c>
      <c r="G13" s="2"/>
    </row>
    <row r="14" customFormat="false" ht="15" hidden="false" customHeight="false" outlineLevel="0" collapsed="false">
      <c r="A14" s="1" t="n">
        <v>42706</v>
      </c>
      <c r="B14" s="0" t="s">
        <v>494</v>
      </c>
      <c r="C14" s="0" t="s">
        <v>495</v>
      </c>
      <c r="F14" s="2" t="n">
        <v>414.7</v>
      </c>
      <c r="G14" s="2"/>
    </row>
    <row r="15" customFormat="false" ht="15" hidden="false" customHeight="false" outlineLevel="0" collapsed="false">
      <c r="A15" s="1" t="n">
        <v>42885</v>
      </c>
      <c r="C15" s="0" t="s">
        <v>496</v>
      </c>
      <c r="F15" s="2" t="n">
        <v>100</v>
      </c>
      <c r="G15" s="2"/>
      <c r="J15" s="0" t="n">
        <v>28139</v>
      </c>
      <c r="K15" s="2" t="n">
        <v>100</v>
      </c>
    </row>
    <row r="16" customFormat="false" ht="15" hidden="false" customHeight="false" outlineLevel="0" collapsed="false">
      <c r="A16" s="1" t="n">
        <v>43073</v>
      </c>
      <c r="C16" s="0" t="s">
        <v>497</v>
      </c>
      <c r="F16" s="2" t="n">
        <v>150</v>
      </c>
      <c r="G16" s="36" t="n">
        <v>43357</v>
      </c>
      <c r="H16" s="0" t="n">
        <v>26669</v>
      </c>
      <c r="I16" s="2" t="n">
        <v>150</v>
      </c>
    </row>
    <row r="17" customFormat="false" ht="15" hidden="false" customHeight="false" outlineLevel="0" collapsed="false">
      <c r="F17" s="37" t="n">
        <f aca="false">SUM(F3:F16)</f>
        <v>39405.48</v>
      </c>
      <c r="G17" s="2"/>
      <c r="H17" s="0" t="s">
        <v>498</v>
      </c>
      <c r="I17" s="33" t="n">
        <f aca="false">I4+I5+I7+I8+I9+I10+I11</f>
        <v>39335.05</v>
      </c>
      <c r="L17" s="33" t="n">
        <f aca="false">L4+L5+L7+L8+L9+L10+L11</f>
        <v>41885.76</v>
      </c>
      <c r="M17" s="33" t="n">
        <f aca="false">L17-I17</f>
        <v>2550.71</v>
      </c>
      <c r="N17" s="34" t="n">
        <f aca="false">M17/I17</f>
        <v>0.0648457291906328</v>
      </c>
    </row>
    <row r="18" customFormat="false" ht="15" hidden="false" customHeight="false" outlineLevel="0" collapsed="false">
      <c r="C18" s="0" t="s">
        <v>499</v>
      </c>
      <c r="F18" s="37"/>
      <c r="G18" s="33"/>
      <c r="I18" s="37"/>
      <c r="J18" s="0" t="n">
        <v>30206</v>
      </c>
      <c r="K18" s="1" t="n">
        <v>43789</v>
      </c>
      <c r="L18" s="2" t="n">
        <v>-2809.75</v>
      </c>
    </row>
    <row r="19" customFormat="false" ht="15" hidden="false" customHeight="false" outlineLevel="0" collapsed="false">
      <c r="C19" s="0" t="s">
        <v>500</v>
      </c>
      <c r="J19" s="0" t="n">
        <v>30276</v>
      </c>
      <c r="K19" s="1" t="n">
        <v>43794</v>
      </c>
      <c r="L19" s="2" t="n">
        <v>481.8</v>
      </c>
    </row>
    <row r="20" customFormat="false" ht="15" hidden="false" customHeight="false" outlineLevel="0" collapsed="false">
      <c r="C20" s="0" t="s">
        <v>501</v>
      </c>
      <c r="L20" s="2" t="n">
        <v>354.7</v>
      </c>
    </row>
    <row r="21" customFormat="false" ht="15" hidden="false" customHeight="false" outlineLevel="0" collapsed="false">
      <c r="K21" s="0" t="s">
        <v>502</v>
      </c>
      <c r="L21" s="33" t="n">
        <f aca="false">SUM(L17:L20)</f>
        <v>39912.51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LibreOffice/5.4.6.2$Windows_x86 LibreOffice_project/4014ce260a04f1026ba855d3b8d91541c224eab8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2017-12-08T22:02:58Z</dcterms:created>
  <dc:creator>Laptop</dc:creator>
  <dc:description/>
  <dc:language>en-US</dc:language>
  <cp:lastModifiedBy>James Long</cp:lastModifiedBy>
  <cp:lastPrinted>2018-10-10T20:52:17Z</cp:lastPrinted>
  <dcterms:modified xsi:type="dcterms:W3CDTF">2020-10-29T15:21:14Z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